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autoCompressPictures="0"/>
  <mc:AlternateContent xmlns:mc="http://schemas.openxmlformats.org/markup-compatibility/2006">
    <mc:Choice Requires="x15">
      <x15ac:absPath xmlns:x15ac="http://schemas.microsoft.com/office/spreadsheetml/2010/11/ac" url="G:\EDWI Reports\ADD's\2024 ADD\"/>
    </mc:Choice>
  </mc:AlternateContent>
  <xr:revisionPtr revIDLastSave="0" documentId="8_{82E50827-252A-4E12-8281-B881EE3FC525}" xr6:coauthVersionLast="47" xr6:coauthVersionMax="47" xr10:uidLastSave="{00000000-0000-0000-0000-000000000000}"/>
  <bookViews>
    <workbookView xWindow="-120" yWindow="-120" windowWidth="29040" windowHeight="15720" tabRatio="321" xr2:uid="{00000000-000D-0000-FFFF-FFFF00000000}"/>
  </bookViews>
  <sheets>
    <sheet name="Overall" sheetId="1" r:id="rId1"/>
    <sheet name="Aging" sheetId="2" r:id="rId2"/>
    <sheet name="Workforce" sheetId="3" r:id="rId3"/>
    <sheet name="Carryover (Reserves)" sheetId="4" r:id="rId4"/>
  </sheets>
  <externalReferences>
    <externalReference r:id="rId5"/>
  </externalReferences>
  <definedNames>
    <definedName name="_xlnm.Print_Area" localSheetId="0">Overall!$AO:$AW</definedName>
    <definedName name="_xlnm.Print_Titles" localSheetId="1">Aging!$A:$A</definedName>
    <definedName name="_xlnm.Print_Titles" localSheetId="0">Overall!$A:$A</definedName>
    <definedName name="_xlnm.Print_Titles" localSheetId="2">Workforce!$A:$A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8" i="1" l="1"/>
  <c r="AP8" i="1"/>
  <c r="AQ8" i="1"/>
  <c r="AR8" i="1"/>
  <c r="AS8" i="1"/>
  <c r="AO12" i="1"/>
  <c r="AP12" i="1"/>
  <c r="AQ12" i="1"/>
  <c r="AR12" i="1"/>
  <c r="AS12" i="1"/>
  <c r="AN12" i="1"/>
  <c r="AS10" i="1"/>
  <c r="AR10" i="1"/>
  <c r="AQ10" i="1"/>
  <c r="AP10" i="1"/>
  <c r="AO10" i="1"/>
  <c r="C12" i="3"/>
  <c r="AB4" i="1"/>
  <c r="Z8" i="1"/>
  <c r="AA6" i="1"/>
  <c r="AA10" i="1" s="1"/>
  <c r="Z6" i="1"/>
  <c r="Z12" i="1" s="1"/>
  <c r="Z10" i="1" l="1"/>
  <c r="Z13" i="1"/>
  <c r="AA12" i="1"/>
  <c r="AA8" i="1"/>
  <c r="AA13" i="1"/>
  <c r="B11" i="1"/>
  <c r="B4" i="1"/>
  <c r="E4" i="1" l="1"/>
  <c r="E11" i="1"/>
  <c r="D4" i="1" l="1"/>
  <c r="D11" i="1"/>
  <c r="G4" i="1" l="1"/>
  <c r="G11" i="1"/>
  <c r="R4" i="1" l="1"/>
  <c r="R11" i="1"/>
  <c r="M4" i="1" l="1"/>
  <c r="J4" i="1" l="1"/>
  <c r="J9" i="1"/>
  <c r="S11" i="1" l="1"/>
  <c r="S4" i="1"/>
  <c r="X11" i="1" l="1"/>
  <c r="X9" i="1"/>
  <c r="X4" i="1"/>
  <c r="V11" i="1" l="1"/>
  <c r="V9" i="1"/>
  <c r="V4" i="1"/>
  <c r="T4" i="1" l="1"/>
  <c r="U6" i="1"/>
  <c r="U13" i="1" s="1"/>
  <c r="T11" i="1"/>
  <c r="T9" i="1"/>
  <c r="T6" i="1"/>
  <c r="T13" i="1" s="1"/>
  <c r="U10" i="1" l="1"/>
  <c r="U8" i="1"/>
  <c r="U12" i="1"/>
  <c r="T10" i="1"/>
  <c r="T12" i="1"/>
  <c r="T8" i="1"/>
  <c r="AL6" i="1"/>
  <c r="AL12" i="1" l="1"/>
  <c r="AL13" i="1"/>
  <c r="AL8" i="1"/>
  <c r="AL10" i="1"/>
  <c r="AG6" i="1"/>
  <c r="AG12" i="1" s="1"/>
  <c r="AH6" i="1"/>
  <c r="AH12" i="1" s="1"/>
  <c r="AG13" i="1" l="1"/>
  <c r="AG8" i="1"/>
  <c r="AG10" i="1"/>
  <c r="AH13" i="1"/>
  <c r="AH8" i="1"/>
  <c r="AH10" i="1"/>
  <c r="AB6" i="1" l="1"/>
  <c r="AB13" i="1" s="1"/>
  <c r="Y6" i="1"/>
  <c r="Y13" i="1" s="1"/>
  <c r="AB8" i="1" l="1"/>
  <c r="AB10" i="1"/>
  <c r="AB12" i="1"/>
  <c r="Y12" i="1"/>
  <c r="Y8" i="1"/>
  <c r="Y10" i="1"/>
  <c r="L6" i="1" l="1"/>
  <c r="M6" i="1"/>
  <c r="V6" i="1" l="1"/>
  <c r="R6" i="1" l="1"/>
  <c r="I6" i="1" l="1"/>
  <c r="F3" i="3" l="1"/>
  <c r="F5" i="3"/>
  <c r="F14" i="3"/>
  <c r="F16" i="3"/>
  <c r="F18" i="3"/>
  <c r="F19" i="3"/>
  <c r="F20" i="3"/>
  <c r="F21" i="3"/>
  <c r="F22" i="3"/>
  <c r="F24" i="3"/>
  <c r="F34" i="3"/>
  <c r="F36" i="3"/>
  <c r="F12" i="3"/>
  <c r="F8" i="3" l="1"/>
  <c r="F10" i="3"/>
  <c r="H4" i="3"/>
  <c r="H5" i="3"/>
  <c r="H7" i="3"/>
  <c r="H11" i="3"/>
  <c r="H14" i="3"/>
  <c r="H16" i="3"/>
  <c r="H20" i="3"/>
  <c r="H21" i="3"/>
  <c r="H22" i="3"/>
  <c r="H26" i="3"/>
  <c r="H32" i="3"/>
  <c r="H33" i="3"/>
  <c r="H34" i="3"/>
  <c r="H36" i="3"/>
  <c r="AU6" i="1"/>
  <c r="H6" i="3" s="1"/>
  <c r="H9" i="3" l="1"/>
  <c r="AU8" i="1"/>
  <c r="H8" i="3" s="1"/>
  <c r="AU13" i="1"/>
  <c r="H13" i="3" s="1"/>
  <c r="AU12" i="1"/>
  <c r="H12" i="3" s="1"/>
  <c r="AU10" i="1" l="1"/>
  <c r="H10" i="3" s="1"/>
  <c r="AJ6" i="1" l="1"/>
  <c r="AJ8" i="1" s="1"/>
  <c r="AI6" i="1"/>
  <c r="AI12" i="1" s="1"/>
  <c r="AD6" i="1"/>
  <c r="AD13" i="1" s="1"/>
  <c r="AI8" i="1" l="1"/>
  <c r="AI10" i="1"/>
  <c r="AJ10" i="1"/>
  <c r="AJ12" i="1"/>
  <c r="AJ13" i="1"/>
  <c r="AI13" i="1"/>
  <c r="E34" i="3"/>
  <c r="D34" i="3"/>
  <c r="C34" i="3"/>
  <c r="B34" i="3"/>
  <c r="A34" i="3"/>
  <c r="AK6" i="1" l="1"/>
  <c r="AK13" i="1" s="1"/>
  <c r="AK8" i="1" l="1"/>
  <c r="AK12" i="1"/>
  <c r="AK10" i="1"/>
  <c r="AD8" i="1" l="1"/>
  <c r="AE6" i="1"/>
  <c r="AE12" i="1" s="1"/>
  <c r="AF6" i="1"/>
  <c r="AF10" i="1" s="1"/>
  <c r="AM6" i="1"/>
  <c r="AM10" i="1" s="1"/>
  <c r="AN6" i="1"/>
  <c r="AN8" i="1" l="1"/>
  <c r="AN13" i="1"/>
  <c r="AF12" i="1"/>
  <c r="AM13" i="1"/>
  <c r="AE13" i="1"/>
  <c r="AE8" i="1"/>
  <c r="AE10" i="1"/>
  <c r="AM12" i="1"/>
  <c r="AF13" i="1"/>
  <c r="AM8" i="1"/>
  <c r="AF8" i="1"/>
  <c r="AD12" i="1"/>
  <c r="AD10" i="1"/>
  <c r="AV6" i="1"/>
  <c r="AW6" i="1"/>
  <c r="AW12" i="1" s="1"/>
  <c r="AT6" i="1"/>
  <c r="AN10" i="1" l="1"/>
  <c r="AT12" i="1"/>
  <c r="G12" i="3" s="1"/>
  <c r="AT10" i="1"/>
  <c r="G10" i="3" s="1"/>
  <c r="AV10" i="1"/>
  <c r="I10" i="3" s="1"/>
  <c r="AV8" i="1"/>
  <c r="I8" i="3" s="1"/>
  <c r="AV12" i="1"/>
  <c r="I12" i="3" s="1"/>
  <c r="AT8" i="1"/>
  <c r="G8" i="3" s="1"/>
  <c r="AW8" i="1"/>
  <c r="J8" i="3" s="1"/>
  <c r="AW10" i="1"/>
  <c r="J10" i="3" s="1"/>
  <c r="I3" i="3"/>
  <c r="G4" i="3"/>
  <c r="I4" i="3"/>
  <c r="J4" i="3"/>
  <c r="G5" i="3"/>
  <c r="I5" i="3"/>
  <c r="J5" i="3"/>
  <c r="G6" i="3"/>
  <c r="I6" i="3"/>
  <c r="J6" i="3"/>
  <c r="G7" i="3"/>
  <c r="I7" i="3"/>
  <c r="J7" i="3"/>
  <c r="G11" i="3"/>
  <c r="I11" i="3"/>
  <c r="J11" i="3"/>
  <c r="J12" i="3"/>
  <c r="G14" i="3"/>
  <c r="I14" i="3"/>
  <c r="J14" i="3"/>
  <c r="G16" i="3"/>
  <c r="I16" i="3"/>
  <c r="J16" i="3"/>
  <c r="G26" i="3"/>
  <c r="I26" i="3"/>
  <c r="J26" i="3"/>
  <c r="G32" i="3"/>
  <c r="I32" i="3"/>
  <c r="J32" i="3"/>
  <c r="G33" i="3"/>
  <c r="I33" i="3"/>
  <c r="J33" i="3"/>
  <c r="G34" i="3"/>
  <c r="I34" i="3"/>
  <c r="J34" i="3"/>
  <c r="G36" i="3"/>
  <c r="I36" i="3"/>
  <c r="J36" i="3"/>
  <c r="G9" i="3" l="1"/>
  <c r="I9" i="3"/>
  <c r="AT13" i="1"/>
  <c r="G13" i="3" s="1"/>
  <c r="AW13" i="1"/>
  <c r="J13" i="3" s="1"/>
  <c r="J9" i="3"/>
  <c r="AV13" i="1"/>
  <c r="I13" i="3" s="1"/>
  <c r="J22" i="3"/>
  <c r="I22" i="3"/>
  <c r="G22" i="3"/>
  <c r="J21" i="3"/>
  <c r="I21" i="3"/>
  <c r="G21" i="3"/>
  <c r="J20" i="3"/>
  <c r="I20" i="3"/>
  <c r="G20" i="3"/>
  <c r="AR18" i="1"/>
  <c r="E26" i="2" l="1"/>
  <c r="J28" i="2" l="1"/>
  <c r="J26" i="2"/>
  <c r="J25" i="2"/>
  <c r="J24" i="2"/>
  <c r="J22" i="2"/>
  <c r="J21" i="2"/>
  <c r="J20" i="2"/>
  <c r="J19" i="2"/>
  <c r="J18" i="2"/>
  <c r="J16" i="2"/>
  <c r="J14" i="2"/>
  <c r="J11" i="2"/>
  <c r="J9" i="2"/>
  <c r="J7" i="2"/>
  <c r="J5" i="2"/>
  <c r="J4" i="2"/>
  <c r="J3" i="2"/>
  <c r="J6" i="1"/>
  <c r="J13" i="1" s="1"/>
  <c r="J13" i="2" s="1"/>
  <c r="J6" i="2" l="1"/>
  <c r="J8" i="1"/>
  <c r="J8" i="2" s="1"/>
  <c r="J10" i="1"/>
  <c r="J10" i="2" s="1"/>
  <c r="J12" i="1"/>
  <c r="J12" i="2" s="1"/>
  <c r="K6" i="1"/>
  <c r="K8" i="1" s="1"/>
  <c r="K8" i="2" s="1"/>
  <c r="E6" i="1"/>
  <c r="E13" i="1" s="1"/>
  <c r="E13" i="2" s="1"/>
  <c r="G6" i="1"/>
  <c r="G12" i="1" s="1"/>
  <c r="G12" i="2" s="1"/>
  <c r="D6" i="1"/>
  <c r="C13" i="4"/>
  <c r="F26" i="2"/>
  <c r="F25" i="2"/>
  <c r="F24" i="2"/>
  <c r="F22" i="2"/>
  <c r="F21" i="2"/>
  <c r="F20" i="2"/>
  <c r="F19" i="2"/>
  <c r="F18" i="2"/>
  <c r="F16" i="2"/>
  <c r="F14" i="2"/>
  <c r="F28" i="2"/>
  <c r="F11" i="2"/>
  <c r="F9" i="2"/>
  <c r="F7" i="2"/>
  <c r="F5" i="2"/>
  <c r="F4" i="2"/>
  <c r="F3" i="2"/>
  <c r="F6" i="1"/>
  <c r="F13" i="1" s="1"/>
  <c r="F13" i="2" s="1"/>
  <c r="C5" i="2"/>
  <c r="D5" i="2"/>
  <c r="E5" i="2"/>
  <c r="G5" i="2"/>
  <c r="H5" i="2"/>
  <c r="I5" i="2"/>
  <c r="K5" i="2"/>
  <c r="L5" i="2"/>
  <c r="M5" i="2"/>
  <c r="N5" i="2"/>
  <c r="O5" i="2"/>
  <c r="P5" i="2"/>
  <c r="Q5" i="2"/>
  <c r="R5" i="2"/>
  <c r="S5" i="2"/>
  <c r="T5" i="2"/>
  <c r="U5" i="2"/>
  <c r="V5" i="2"/>
  <c r="W5" i="2"/>
  <c r="X5" i="2"/>
  <c r="Y5" i="2"/>
  <c r="B5" i="2"/>
  <c r="B6" i="1"/>
  <c r="B13" i="1" s="1"/>
  <c r="C5" i="3"/>
  <c r="D5" i="3"/>
  <c r="E5" i="3"/>
  <c r="B5" i="3"/>
  <c r="A5" i="3"/>
  <c r="A6" i="3"/>
  <c r="A5" i="2"/>
  <c r="A6" i="2"/>
  <c r="C6" i="1"/>
  <c r="C12" i="1" s="1"/>
  <c r="C12" i="2" s="1"/>
  <c r="H6" i="1"/>
  <c r="H10" i="1" s="1"/>
  <c r="H10" i="2" s="1"/>
  <c r="I6" i="2"/>
  <c r="L13" i="1"/>
  <c r="L13" i="2" s="1"/>
  <c r="M6" i="2"/>
  <c r="N6" i="1"/>
  <c r="N6" i="2" s="1"/>
  <c r="O6" i="1"/>
  <c r="O13" i="1" s="1"/>
  <c r="O13" i="2" s="1"/>
  <c r="P6" i="1"/>
  <c r="P12" i="1" s="1"/>
  <c r="P12" i="2" s="1"/>
  <c r="Q6" i="1"/>
  <c r="Q6" i="2" s="1"/>
  <c r="R10" i="1"/>
  <c r="R10" i="2" s="1"/>
  <c r="S6" i="1"/>
  <c r="S13" i="1" s="1"/>
  <c r="S13" i="2" s="1"/>
  <c r="T6" i="2"/>
  <c r="U12" i="2"/>
  <c r="V8" i="1"/>
  <c r="V8" i="2" s="1"/>
  <c r="W6" i="1"/>
  <c r="W13" i="1" s="1"/>
  <c r="W13" i="2" s="1"/>
  <c r="X6" i="1"/>
  <c r="X6" i="2" s="1"/>
  <c r="AC6" i="1"/>
  <c r="D12" i="3"/>
  <c r="E6" i="3"/>
  <c r="A26" i="3"/>
  <c r="E24" i="3"/>
  <c r="D24" i="3"/>
  <c r="C24" i="3"/>
  <c r="B24" i="3"/>
  <c r="A24" i="3"/>
  <c r="A32" i="3"/>
  <c r="A33" i="3"/>
  <c r="E36" i="3"/>
  <c r="D36" i="3"/>
  <c r="C36" i="3"/>
  <c r="B36" i="3"/>
  <c r="E33" i="3"/>
  <c r="E32" i="3"/>
  <c r="E22" i="3"/>
  <c r="D22" i="3"/>
  <c r="C22" i="3"/>
  <c r="B22" i="3"/>
  <c r="E21" i="3"/>
  <c r="D21" i="3"/>
  <c r="C21" i="3"/>
  <c r="B21" i="3"/>
  <c r="E20" i="3"/>
  <c r="D20" i="3"/>
  <c r="C20" i="3"/>
  <c r="B20" i="3"/>
  <c r="E19" i="3"/>
  <c r="D19" i="3"/>
  <c r="C19" i="3"/>
  <c r="B19" i="3"/>
  <c r="E18" i="3"/>
  <c r="D18" i="3"/>
  <c r="C18" i="3"/>
  <c r="B18" i="3"/>
  <c r="E16" i="3"/>
  <c r="D16" i="3"/>
  <c r="C16" i="3"/>
  <c r="B16" i="3"/>
  <c r="E14" i="3"/>
  <c r="D14" i="3"/>
  <c r="C14" i="3"/>
  <c r="B14" i="3"/>
  <c r="E11" i="3"/>
  <c r="E9" i="3"/>
  <c r="E7" i="3"/>
  <c r="E4" i="3"/>
  <c r="Y28" i="2"/>
  <c r="X28" i="2"/>
  <c r="W28" i="2"/>
  <c r="V28" i="2"/>
  <c r="U28" i="2"/>
  <c r="T28" i="2"/>
  <c r="S28" i="2"/>
  <c r="R28" i="2"/>
  <c r="Q28" i="2"/>
  <c r="P28" i="2"/>
  <c r="O28" i="2"/>
  <c r="N28" i="2"/>
  <c r="M28" i="2"/>
  <c r="L28" i="2"/>
  <c r="K28" i="2"/>
  <c r="I28" i="2"/>
  <c r="H28" i="2"/>
  <c r="G28" i="2"/>
  <c r="E28" i="2"/>
  <c r="D28" i="2"/>
  <c r="C28" i="2"/>
  <c r="B28" i="2"/>
  <c r="Y26" i="2"/>
  <c r="X26" i="2"/>
  <c r="W26" i="2"/>
  <c r="V26" i="2"/>
  <c r="U26" i="2"/>
  <c r="T26" i="2"/>
  <c r="S26" i="2"/>
  <c r="R26" i="2"/>
  <c r="Q26" i="2"/>
  <c r="P26" i="2"/>
  <c r="O26" i="2"/>
  <c r="N26" i="2"/>
  <c r="M26" i="2"/>
  <c r="L26" i="2"/>
  <c r="K26" i="2"/>
  <c r="I26" i="2"/>
  <c r="H26" i="2"/>
  <c r="G26" i="2"/>
  <c r="D26" i="2"/>
  <c r="C26" i="2"/>
  <c r="B26" i="2"/>
  <c r="Y25" i="2"/>
  <c r="X25" i="2"/>
  <c r="W25" i="2"/>
  <c r="V25" i="2"/>
  <c r="U25" i="2"/>
  <c r="T25" i="2"/>
  <c r="S25" i="2"/>
  <c r="R25" i="2"/>
  <c r="Q25" i="2"/>
  <c r="P25" i="2"/>
  <c r="O25" i="2"/>
  <c r="N25" i="2"/>
  <c r="M25" i="2"/>
  <c r="L25" i="2"/>
  <c r="K25" i="2"/>
  <c r="I25" i="2"/>
  <c r="H25" i="2"/>
  <c r="G25" i="2"/>
  <c r="E25" i="2"/>
  <c r="D25" i="2"/>
  <c r="C25" i="2"/>
  <c r="B25" i="2"/>
  <c r="Y24" i="2"/>
  <c r="X24" i="2"/>
  <c r="W24" i="2"/>
  <c r="V24" i="2"/>
  <c r="U24" i="2"/>
  <c r="T24" i="2"/>
  <c r="S24" i="2"/>
  <c r="R24" i="2"/>
  <c r="Q24" i="2"/>
  <c r="P24" i="2"/>
  <c r="O24" i="2"/>
  <c r="N24" i="2"/>
  <c r="M24" i="2"/>
  <c r="L24" i="2"/>
  <c r="K24" i="2"/>
  <c r="I24" i="2"/>
  <c r="H24" i="2"/>
  <c r="G24" i="2"/>
  <c r="E24" i="2"/>
  <c r="D24" i="2"/>
  <c r="C24" i="2"/>
  <c r="B24" i="2"/>
  <c r="Y22" i="2"/>
  <c r="X22" i="2"/>
  <c r="W22" i="2"/>
  <c r="V22" i="2"/>
  <c r="U22" i="2"/>
  <c r="T22" i="2"/>
  <c r="S22" i="2"/>
  <c r="R22" i="2"/>
  <c r="Q22" i="2"/>
  <c r="P22" i="2"/>
  <c r="O22" i="2"/>
  <c r="N22" i="2"/>
  <c r="M22" i="2"/>
  <c r="L22" i="2"/>
  <c r="K22" i="2"/>
  <c r="I22" i="2"/>
  <c r="H22" i="2"/>
  <c r="G22" i="2"/>
  <c r="E22" i="2"/>
  <c r="D22" i="2"/>
  <c r="C22" i="2"/>
  <c r="B22" i="2"/>
  <c r="Y21" i="2"/>
  <c r="X21" i="2"/>
  <c r="W21" i="2"/>
  <c r="V21" i="2"/>
  <c r="U21" i="2"/>
  <c r="T21" i="2"/>
  <c r="S21" i="2"/>
  <c r="R21" i="2"/>
  <c r="Q21" i="2"/>
  <c r="P21" i="2"/>
  <c r="O21" i="2"/>
  <c r="N21" i="2"/>
  <c r="M21" i="2"/>
  <c r="L21" i="2"/>
  <c r="K21" i="2"/>
  <c r="I21" i="2"/>
  <c r="H21" i="2"/>
  <c r="G21" i="2"/>
  <c r="E21" i="2"/>
  <c r="D21" i="2"/>
  <c r="C21" i="2"/>
  <c r="B21" i="2"/>
  <c r="Y20" i="2"/>
  <c r="X20" i="2"/>
  <c r="W20" i="2"/>
  <c r="V20" i="2"/>
  <c r="U20" i="2"/>
  <c r="T20" i="2"/>
  <c r="S20" i="2"/>
  <c r="R20" i="2"/>
  <c r="Q20" i="2"/>
  <c r="P20" i="2"/>
  <c r="O20" i="2"/>
  <c r="N20" i="2"/>
  <c r="M20" i="2"/>
  <c r="L20" i="2"/>
  <c r="K20" i="2"/>
  <c r="I20" i="2"/>
  <c r="H20" i="2"/>
  <c r="G20" i="2"/>
  <c r="E20" i="2"/>
  <c r="D20" i="2"/>
  <c r="C20" i="2"/>
  <c r="B20" i="2"/>
  <c r="Y19" i="2"/>
  <c r="X19" i="2"/>
  <c r="W19" i="2"/>
  <c r="V19" i="2"/>
  <c r="U19" i="2"/>
  <c r="T19" i="2"/>
  <c r="S19" i="2"/>
  <c r="R19" i="2"/>
  <c r="Q19" i="2"/>
  <c r="P19" i="2"/>
  <c r="O19" i="2"/>
  <c r="N19" i="2"/>
  <c r="M19" i="2"/>
  <c r="L19" i="2"/>
  <c r="K19" i="2"/>
  <c r="I19" i="2"/>
  <c r="H19" i="2"/>
  <c r="G19" i="2"/>
  <c r="E19" i="2"/>
  <c r="D19" i="2"/>
  <c r="C19" i="2"/>
  <c r="B19" i="2"/>
  <c r="Y18" i="2"/>
  <c r="X18" i="2"/>
  <c r="W18" i="2"/>
  <c r="V18" i="2"/>
  <c r="U18" i="2"/>
  <c r="T18" i="2"/>
  <c r="S18" i="2"/>
  <c r="R18" i="2"/>
  <c r="Q18" i="2"/>
  <c r="P18" i="2"/>
  <c r="O18" i="2"/>
  <c r="N18" i="2"/>
  <c r="M18" i="2"/>
  <c r="L18" i="2"/>
  <c r="K18" i="2"/>
  <c r="I18" i="2"/>
  <c r="H18" i="2"/>
  <c r="G18" i="2"/>
  <c r="E18" i="2"/>
  <c r="D18" i="2"/>
  <c r="C18" i="2"/>
  <c r="B18" i="2"/>
  <c r="Y16" i="2"/>
  <c r="X16" i="2"/>
  <c r="W16" i="2"/>
  <c r="V16" i="2"/>
  <c r="U16" i="2"/>
  <c r="T16" i="2"/>
  <c r="S16" i="2"/>
  <c r="R16" i="2"/>
  <c r="Q16" i="2"/>
  <c r="P16" i="2"/>
  <c r="O16" i="2"/>
  <c r="N16" i="2"/>
  <c r="M16" i="2"/>
  <c r="L16" i="2"/>
  <c r="K16" i="2"/>
  <c r="I16" i="2"/>
  <c r="H16" i="2"/>
  <c r="G16" i="2"/>
  <c r="E16" i="2"/>
  <c r="D16" i="2"/>
  <c r="C16" i="2"/>
  <c r="B16" i="2"/>
  <c r="Y14" i="2"/>
  <c r="X14" i="2"/>
  <c r="W14" i="2"/>
  <c r="V14" i="2"/>
  <c r="U14" i="2"/>
  <c r="T14" i="2"/>
  <c r="S14" i="2"/>
  <c r="R14" i="2"/>
  <c r="Q14" i="2"/>
  <c r="P14" i="2"/>
  <c r="O14" i="2"/>
  <c r="N14" i="2"/>
  <c r="M14" i="2"/>
  <c r="L14" i="2"/>
  <c r="K14" i="2"/>
  <c r="I14" i="2"/>
  <c r="H14" i="2"/>
  <c r="G14" i="2"/>
  <c r="E14" i="2"/>
  <c r="D14" i="2"/>
  <c r="B14" i="2"/>
  <c r="Y11" i="2"/>
  <c r="X11" i="2"/>
  <c r="W11" i="2"/>
  <c r="V11" i="2"/>
  <c r="U11" i="2"/>
  <c r="T11" i="2"/>
  <c r="S11" i="2"/>
  <c r="R11" i="2"/>
  <c r="Q11" i="2"/>
  <c r="P11" i="2"/>
  <c r="O11" i="2"/>
  <c r="N11" i="2"/>
  <c r="M11" i="2"/>
  <c r="L11" i="2"/>
  <c r="K11" i="2"/>
  <c r="I11" i="2"/>
  <c r="H11" i="2"/>
  <c r="G11" i="2"/>
  <c r="E11" i="2"/>
  <c r="D11" i="2"/>
  <c r="C11" i="2"/>
  <c r="B11" i="2"/>
  <c r="Y9" i="2"/>
  <c r="X9" i="2"/>
  <c r="W9" i="2"/>
  <c r="V9" i="2"/>
  <c r="U9" i="2"/>
  <c r="T9" i="2"/>
  <c r="S9" i="2"/>
  <c r="R9" i="2"/>
  <c r="Q9" i="2"/>
  <c r="P9" i="2"/>
  <c r="O9" i="2"/>
  <c r="N9" i="2"/>
  <c r="M9" i="2"/>
  <c r="L9" i="2"/>
  <c r="K9" i="2"/>
  <c r="I9" i="2"/>
  <c r="H9" i="2"/>
  <c r="G9" i="2"/>
  <c r="E9" i="2"/>
  <c r="D9" i="2"/>
  <c r="C9" i="2"/>
  <c r="B9" i="2"/>
  <c r="Y7" i="2"/>
  <c r="X7" i="2"/>
  <c r="W7" i="2"/>
  <c r="V7" i="2"/>
  <c r="U7" i="2"/>
  <c r="T7" i="2"/>
  <c r="S7" i="2"/>
  <c r="R7" i="2"/>
  <c r="Q7" i="2"/>
  <c r="P7" i="2"/>
  <c r="O7" i="2"/>
  <c r="N7" i="2"/>
  <c r="M7" i="2"/>
  <c r="L7" i="2"/>
  <c r="K7" i="2"/>
  <c r="I7" i="2"/>
  <c r="H7" i="2"/>
  <c r="G7" i="2"/>
  <c r="E7" i="2"/>
  <c r="D7" i="2"/>
  <c r="C7" i="2"/>
  <c r="B7" i="2"/>
  <c r="Y4" i="2"/>
  <c r="X4" i="2"/>
  <c r="W4" i="2"/>
  <c r="V4" i="2"/>
  <c r="U4" i="2"/>
  <c r="T4" i="2"/>
  <c r="S4" i="2"/>
  <c r="R4" i="2"/>
  <c r="Q4" i="2"/>
  <c r="P4" i="2"/>
  <c r="O4" i="2"/>
  <c r="N4" i="2"/>
  <c r="M4" i="2"/>
  <c r="L4" i="2"/>
  <c r="K4" i="2"/>
  <c r="I4" i="2"/>
  <c r="H4" i="2"/>
  <c r="G4" i="2"/>
  <c r="E4" i="2"/>
  <c r="D4" i="2"/>
  <c r="C4" i="2"/>
  <c r="B4" i="2"/>
  <c r="C14" i="2"/>
  <c r="Y3" i="2"/>
  <c r="C3" i="2"/>
  <c r="D3" i="2"/>
  <c r="E3" i="2"/>
  <c r="G3" i="2"/>
  <c r="H3" i="2"/>
  <c r="I3" i="2"/>
  <c r="K3" i="2"/>
  <c r="L3" i="2"/>
  <c r="M3" i="2"/>
  <c r="N3" i="2"/>
  <c r="O3" i="2"/>
  <c r="P3" i="2"/>
  <c r="Q3" i="2"/>
  <c r="R3" i="2"/>
  <c r="S3" i="2"/>
  <c r="T3" i="2"/>
  <c r="U3" i="2"/>
  <c r="V3" i="2"/>
  <c r="W3" i="2"/>
  <c r="X3" i="2"/>
  <c r="B3" i="2"/>
  <c r="A28" i="2"/>
  <c r="A25" i="2"/>
  <c r="A26" i="2"/>
  <c r="A24" i="2"/>
  <c r="A18" i="2"/>
  <c r="A16" i="2"/>
  <c r="A14" i="2"/>
  <c r="A13" i="2"/>
  <c r="A12" i="2"/>
  <c r="A7" i="2"/>
  <c r="A8" i="2"/>
  <c r="A9" i="2"/>
  <c r="A10" i="2"/>
  <c r="A11" i="2"/>
  <c r="A4" i="2"/>
  <c r="A36" i="3"/>
  <c r="A18" i="3"/>
  <c r="A16" i="3"/>
  <c r="A13" i="3"/>
  <c r="A14" i="3"/>
  <c r="A7" i="3"/>
  <c r="A8" i="3"/>
  <c r="A9" i="3"/>
  <c r="A10" i="3"/>
  <c r="A11" i="3"/>
  <c r="A12" i="3"/>
  <c r="A4" i="3"/>
  <c r="C3" i="3"/>
  <c r="D3" i="3"/>
  <c r="E3" i="3"/>
  <c r="B3" i="3"/>
  <c r="B10" i="3"/>
  <c r="E13" i="3"/>
  <c r="B8" i="3"/>
  <c r="D8" i="3"/>
  <c r="B12" i="3"/>
  <c r="C10" i="3"/>
  <c r="C8" i="3"/>
  <c r="E10" i="3"/>
  <c r="D10" i="3"/>
  <c r="E12" i="3"/>
  <c r="E8" i="3"/>
  <c r="M8" i="1"/>
  <c r="M8" i="2" s="1"/>
  <c r="M10" i="1"/>
  <c r="M10" i="2" s="1"/>
  <c r="AC13" i="1" l="1"/>
  <c r="Y13" i="2" s="1"/>
  <c r="AC12" i="1"/>
  <c r="Y12" i="2" s="1"/>
  <c r="D8" i="1"/>
  <c r="D8" i="2" s="1"/>
  <c r="D13" i="1"/>
  <c r="D13" i="2" s="1"/>
  <c r="B6" i="2"/>
  <c r="B12" i="1"/>
  <c r="B12" i="2" s="1"/>
  <c r="E12" i="1"/>
  <c r="E12" i="2" s="1"/>
  <c r="E6" i="2"/>
  <c r="H12" i="1"/>
  <c r="H12" i="2" s="1"/>
  <c r="H6" i="2"/>
  <c r="H13" i="1"/>
  <c r="H13" i="2" s="1"/>
  <c r="S10" i="1"/>
  <c r="S10" i="2" s="1"/>
  <c r="K12" i="1"/>
  <c r="K12" i="2" s="1"/>
  <c r="M13" i="1"/>
  <c r="M13" i="2" s="1"/>
  <c r="K6" i="2"/>
  <c r="S8" i="1"/>
  <c r="S8" i="2" s="1"/>
  <c r="W12" i="1"/>
  <c r="W12" i="2" s="1"/>
  <c r="O10" i="1"/>
  <c r="O10" i="2" s="1"/>
  <c r="W8" i="1"/>
  <c r="W8" i="2" s="1"/>
  <c r="F8" i="1"/>
  <c r="F8" i="2" s="1"/>
  <c r="E8" i="1"/>
  <c r="E8" i="2" s="1"/>
  <c r="W6" i="2"/>
  <c r="P10" i="1"/>
  <c r="P10" i="2" s="1"/>
  <c r="L10" i="1"/>
  <c r="L10" i="2" s="1"/>
  <c r="M12" i="1"/>
  <c r="M12" i="2" s="1"/>
  <c r="H8" i="1"/>
  <c r="H8" i="2" s="1"/>
  <c r="AC10" i="1"/>
  <c r="Y10" i="2" s="1"/>
  <c r="AC8" i="1"/>
  <c r="Y8" i="2" s="1"/>
  <c r="R6" i="2"/>
  <c r="Y6" i="2"/>
  <c r="L8" i="1"/>
  <c r="L8" i="2" s="1"/>
  <c r="O12" i="1"/>
  <c r="O12" i="2" s="1"/>
  <c r="L6" i="2"/>
  <c r="C10" i="1"/>
  <c r="C10" i="2" s="1"/>
  <c r="O6" i="2"/>
  <c r="L12" i="1"/>
  <c r="L12" i="2" s="1"/>
  <c r="K13" i="1"/>
  <c r="K13" i="2" s="1"/>
  <c r="R13" i="1"/>
  <c r="R13" i="2" s="1"/>
  <c r="O8" i="1"/>
  <c r="O8" i="2" s="1"/>
  <c r="T10" i="2"/>
  <c r="T12" i="2"/>
  <c r="T8" i="2"/>
  <c r="Q12" i="1"/>
  <c r="Q12" i="2" s="1"/>
  <c r="T13" i="2"/>
  <c r="G8" i="1"/>
  <c r="G8" i="2" s="1"/>
  <c r="D6" i="2"/>
  <c r="D10" i="1"/>
  <c r="D10" i="2" s="1"/>
  <c r="B13" i="2"/>
  <c r="Q10" i="1"/>
  <c r="Q10" i="2" s="1"/>
  <c r="Q8" i="1"/>
  <c r="Q8" i="2" s="1"/>
  <c r="Q13" i="1"/>
  <c r="Q13" i="2" s="1"/>
  <c r="V13" i="1"/>
  <c r="V13" i="2" s="1"/>
  <c r="N13" i="1"/>
  <c r="N13" i="2" s="1"/>
  <c r="N10" i="1"/>
  <c r="N10" i="2" s="1"/>
  <c r="I12" i="1"/>
  <c r="I12" i="2" s="1"/>
  <c r="F12" i="1"/>
  <c r="F12" i="2" s="1"/>
  <c r="U13" i="2"/>
  <c r="B10" i="1"/>
  <c r="B10" i="2" s="1"/>
  <c r="B8" i="1"/>
  <c r="B8" i="2" s="1"/>
  <c r="N12" i="1"/>
  <c r="N12" i="2" s="1"/>
  <c r="N8" i="1"/>
  <c r="N8" i="2" s="1"/>
  <c r="D12" i="1"/>
  <c r="D12" i="2" s="1"/>
  <c r="G6" i="2"/>
  <c r="P13" i="1"/>
  <c r="P13" i="2" s="1"/>
  <c r="I8" i="1"/>
  <c r="I8" i="2" s="1"/>
  <c r="U6" i="2"/>
  <c r="U10" i="2"/>
  <c r="R8" i="1"/>
  <c r="R8" i="2" s="1"/>
  <c r="C13" i="1"/>
  <c r="C13" i="2" s="1"/>
  <c r="R12" i="1"/>
  <c r="R12" i="2" s="1"/>
  <c r="C8" i="1"/>
  <c r="C8" i="2" s="1"/>
  <c r="X8" i="1"/>
  <c r="X8" i="2" s="1"/>
  <c r="G10" i="1"/>
  <c r="G10" i="2" s="1"/>
  <c r="W10" i="1"/>
  <c r="W10" i="2" s="1"/>
  <c r="U8" i="2"/>
  <c r="C6" i="2"/>
  <c r="G13" i="1"/>
  <c r="G13" i="2" s="1"/>
  <c r="F6" i="2"/>
  <c r="S12" i="1"/>
  <c r="S12" i="2" s="1"/>
  <c r="I13" i="1"/>
  <c r="I13" i="2" s="1"/>
  <c r="X10" i="1"/>
  <c r="X10" i="2" s="1"/>
  <c r="X13" i="1"/>
  <c r="X13" i="2" s="1"/>
  <c r="V10" i="1"/>
  <c r="V10" i="2" s="1"/>
  <c r="E10" i="1"/>
  <c r="E10" i="2" s="1"/>
  <c r="K10" i="1"/>
  <c r="K10" i="2" s="1"/>
  <c r="P6" i="2"/>
  <c r="S6" i="2"/>
  <c r="I10" i="1"/>
  <c r="I10" i="2" s="1"/>
  <c r="V12" i="1"/>
  <c r="V12" i="2" s="1"/>
  <c r="P8" i="1"/>
  <c r="P8" i="2" s="1"/>
  <c r="V6" i="2"/>
  <c r="X12" i="1"/>
  <c r="X12" i="2" s="1"/>
  <c r="F10" i="1"/>
  <c r="F10" i="2" s="1"/>
</calcChain>
</file>

<file path=xl/sharedStrings.xml><?xml version="1.0" encoding="utf-8"?>
<sst xmlns="http://schemas.openxmlformats.org/spreadsheetml/2006/main" count="260" uniqueCount="141">
  <si>
    <t>Administrative Costs</t>
  </si>
  <si>
    <t>% of Admin Cost</t>
  </si>
  <si>
    <t>Direct Expenditures</t>
  </si>
  <si>
    <t>% of Direct Expenditures</t>
  </si>
  <si>
    <t>Indirect Expenditures</t>
  </si>
  <si>
    <t>% of Indirect Expenditures</t>
  </si>
  <si>
    <t>Unexpended Funds</t>
  </si>
  <si>
    <t>Explanation of Unexpended Funds</t>
  </si>
  <si>
    <t>Eligible Persons</t>
  </si>
  <si>
    <t># Persons Served</t>
  </si>
  <si>
    <t># People on Waiting List</t>
  </si>
  <si>
    <t>Performance Measures</t>
  </si>
  <si>
    <t>Title III B</t>
  </si>
  <si>
    <t>Title III C1</t>
  </si>
  <si>
    <t>Title III C2</t>
  </si>
  <si>
    <t>Title III E</t>
  </si>
  <si>
    <t>Title III B Omb</t>
  </si>
  <si>
    <t>Title VII Ombudsman</t>
  </si>
  <si>
    <t>CDSME</t>
  </si>
  <si>
    <t>Ky Caregiver</t>
  </si>
  <si>
    <t>Disability Resource Center</t>
  </si>
  <si>
    <t>Arthritis Grant</t>
  </si>
  <si>
    <t>FAST</t>
  </si>
  <si>
    <t>State Long Term Care Ombudsman</t>
  </si>
  <si>
    <t>Homecare</t>
  </si>
  <si>
    <t>SHIP</t>
  </si>
  <si>
    <t>Grant Award</t>
  </si>
  <si>
    <t>List of Direct Services provided by ADD</t>
  </si>
  <si>
    <t>Intermediary Relending Program</t>
  </si>
  <si>
    <t>Source of Funds:</t>
  </si>
  <si>
    <t>Revolving Loan Fund</t>
  </si>
  <si>
    <t>Interest Earned on Investments</t>
  </si>
  <si>
    <t>Local Contributions</t>
  </si>
  <si>
    <t>Explanation as to why funds are being carried forward:</t>
  </si>
  <si>
    <t>As loans are repaid, funds are accumulated to make additional loans.</t>
  </si>
  <si>
    <t>Amount</t>
  </si>
  <si>
    <t>Funds will be utilized for match requirements and agency needs not directly allocable to specific programs</t>
  </si>
  <si>
    <t>Surplus from Performance Based Contracts</t>
  </si>
  <si>
    <t>Performance based contracts are fee for service and any funds not utilized is carried forward for future services.</t>
  </si>
  <si>
    <t>Community &amp; Economic Development</t>
  </si>
  <si>
    <t>Training and Workforce Development</t>
  </si>
  <si>
    <t>Area Agency on Aging and Independent Living</t>
  </si>
  <si>
    <t>Direct Service Providers/Contractors Contracted by ADD and services provided</t>
  </si>
  <si>
    <t>Career Center Operators</t>
  </si>
  <si>
    <t>Training Service Providers and services provided</t>
  </si>
  <si>
    <t>Local Funds (Match or applied)</t>
  </si>
  <si>
    <t>Total Grant Funds</t>
  </si>
  <si>
    <t>Non Cash Pension Expense Adjustment to reflect agency's proportionate share of the net pension liability related to the County Employee Retirement System</t>
  </si>
  <si>
    <t>Ombudsman</t>
  </si>
  <si>
    <t>Congregate Meals</t>
  </si>
  <si>
    <t>Home Delivered Meals</t>
  </si>
  <si>
    <t>USDA/NSIP</t>
  </si>
  <si>
    <t>Elder Abuse</t>
  </si>
  <si>
    <t>Assistance, I&amp;R/I&amp;A, Supplemental Services, Support Groups</t>
  </si>
  <si>
    <t>ADRC</t>
  </si>
  <si>
    <t>AAA</t>
  </si>
  <si>
    <t>Title III D</t>
  </si>
  <si>
    <t>Title VII Elder Abuse</t>
  </si>
  <si>
    <t>See Master Performance Measure Binder</t>
  </si>
  <si>
    <t>Lake Cumberland Area Development District</t>
  </si>
  <si>
    <t xml:space="preserve">Ombudsman </t>
  </si>
  <si>
    <t xml:space="preserve">Joint Funding Administration - EDA </t>
  </si>
  <si>
    <t xml:space="preserve">Joint Funding Administration - CDBG </t>
  </si>
  <si>
    <t xml:space="preserve">Joint Funding Administration - ARC </t>
  </si>
  <si>
    <t>Water Management Resources</t>
  </si>
  <si>
    <t>Local Road Updates</t>
  </si>
  <si>
    <t>Regional Transportation</t>
  </si>
  <si>
    <t>LCADD Community and Economic Development staff performs all Scope of Service activities contained within the JFA Memorandum of Agreement and the JFA Administrative Handbook as needed by our 24 government jurisdictions, SPGEs, non-profit organizations and new or expanding businesses as well as assistance needed by the Department for Local Government and the Commonwealth.  Staff complies with the Terms and Conditions and performs all Scope of Work activities contained within the Work Elements.</t>
  </si>
  <si>
    <t>Program serves entire Lake Cumberland Region</t>
  </si>
  <si>
    <t>WIOA Adult</t>
  </si>
  <si>
    <t>WIOA Dislocated Worker</t>
  </si>
  <si>
    <t>WIOA Youth</t>
  </si>
  <si>
    <t>TRADE Adjustment Assistance</t>
  </si>
  <si>
    <t>Assessment, Eligibility, Case Management, Business Services, Career and Training, Follow Up</t>
  </si>
  <si>
    <t>Assessment, Eligibility, Case Management, Business Services, Career and  Training, Follow Up</t>
  </si>
  <si>
    <t>LCADD</t>
  </si>
  <si>
    <t>LTADD</t>
  </si>
  <si>
    <t>Multi-year Obligated Funds</t>
  </si>
  <si>
    <t>Funded by KIA, LCADD staff assists with the development of project profiles, assists with project prioritization, develops and maintains a gis database of water and wastewater assets, assists with local asset management plans, and collects system physical and financial data.</t>
  </si>
  <si>
    <t>Funded by KYTC, LCADD Staff provides road mapping and attribute update services to local county and city governments.</t>
  </si>
  <si>
    <t># Eligible People Served thru Career Services</t>
  </si>
  <si>
    <t>USDA Rural Housing</t>
  </si>
  <si>
    <t>Multiyear Funds</t>
  </si>
  <si>
    <t>Final Invoice due before year end complete. Local funds applied</t>
  </si>
  <si>
    <t>WIOA NDWG</t>
  </si>
  <si>
    <t>AED purchased cost $995.00</t>
  </si>
  <si>
    <t>Lifeline Homecare/Personal Care, Home Management, Escort, Chore, Respite</t>
  </si>
  <si>
    <t>I&amp;A/I&amp;R, Assessment, Case Management,Home Repair, Personal Care, Respite and Supplies</t>
  </si>
  <si>
    <t>Assessment, Case Management, I&amp;A, Transportation and Recreation</t>
  </si>
  <si>
    <t>Lifeline Homecare / Chorse, Home Management, Personal Care, and Respite ... ARDF / Legal Assistance</t>
  </si>
  <si>
    <t>Mom's Meals / delivery of meals</t>
  </si>
  <si>
    <t>ITA-0</t>
  </si>
  <si>
    <t>Cumberland Valley ADD Case Management</t>
  </si>
  <si>
    <t>ESMP</t>
  </si>
  <si>
    <t>State Funded Invoice</t>
  </si>
  <si>
    <t>Funded by KYTC, LCADD maintains transportation related databases, assists with the development of project profiles, provides local input for project prioritization, maintains environmental justice data, and provides technical assistance to local communities.</t>
  </si>
  <si>
    <t xml:space="preserve">The Healthy Elderly Living Project produced an inventory of publicly-funded multifamily properties, a feasibility study and a business plan in the pursuit of creating affordable housing allowing for low income elderly individuals to age independently with dignity.  Staff partnered with HAC to achieve the inventory and study. </t>
  </si>
  <si>
    <t xml:space="preserve">Program serves 9 counties and 13 cities. </t>
  </si>
  <si>
    <t xml:space="preserve">Joint Funding Administration - Management Asst </t>
  </si>
  <si>
    <t xml:space="preserve">Joint Funding Administration - Program Administration </t>
  </si>
  <si>
    <t>Hazard Mitigation</t>
  </si>
  <si>
    <t>The 2022/2023 update of the Multi-Jurisdictional Hazard Mitigation Plan was written by LCADD staff with input from a regionals committee, reflecting representation from all 24 city/county governments, public agencies, private business, school systems and community individuals and groups.  Public meetings were held to allow input, review and comments on the plan.  LCADD staff reviewed and updated each section of the plan, including data from comprehensive plans, PVA records, 911 databases and other sources.  GPS mapping and comprehensive planning information collected for each county/city was then incorporated into the plan.  Annual reviews and updating will be part of the Plan maintenance.</t>
  </si>
  <si>
    <t>Funds were used to cover shortages in other JFA programs</t>
  </si>
  <si>
    <t xml:space="preserve">Funds were used to cover shortages in other JFA programs. Remaining funds were sent back to ADF fund for future regional approved projects. </t>
  </si>
  <si>
    <t>NSIP 7/01/23 to 9/30/23</t>
  </si>
  <si>
    <t>NSIP 10/1/23 to 9/30/24</t>
  </si>
  <si>
    <t>MIPPA SHIP 10/01/23 to 8/30/24</t>
  </si>
  <si>
    <t>MIPPA SHIP 7/1/23 to 9/30/23</t>
  </si>
  <si>
    <t>MIPPA AAA  7/1/2023 to 9/30/23</t>
  </si>
  <si>
    <t>MIPPA AAA 10/01/23 to 8/30/24</t>
  </si>
  <si>
    <t>MIPPA ADRC  7/1/2023 to 9/30/23</t>
  </si>
  <si>
    <t>MIPPA ADRC 10/01/23 to 8/30/24</t>
  </si>
  <si>
    <t>We have 2 more months to expend funds as they don't expire until the end of August.</t>
  </si>
  <si>
    <t>We have 3 more months to expend funds as they don't expire until the end of September.</t>
  </si>
  <si>
    <t>$10,426.71 ARPA funds that expire 9/30/24 are remaining.</t>
  </si>
  <si>
    <t>All clients were served with some not expending all their alloted funds therefore increasing vouchers/respite amounts for FY23 plus received ARPA funds.                                                          $23,648.50 ARPA funds that expire 9/30/24 are remaining.</t>
  </si>
  <si>
    <t xml:space="preserve">Expended out of Unexpended and ARPA funds prior to allocated. </t>
  </si>
  <si>
    <t xml:space="preserve">$139,754.30 ARPA funds that expire 9/30/24 are remaining. </t>
  </si>
  <si>
    <t xml:space="preserve">$83,565.81 ARPA funds that expire 9/30/24 are remaining. </t>
  </si>
  <si>
    <t>ADVC</t>
  </si>
  <si>
    <t>INNU</t>
  </si>
  <si>
    <t>Lifeline had trouble keeping staff or they just would show up for interviews.</t>
  </si>
  <si>
    <t>We utilized all funds that we could, delay in getting events started up.</t>
  </si>
  <si>
    <t>ADRC Home Delivered meals</t>
  </si>
  <si>
    <t>Bingocise,   Walk With Ease, Drums Alive</t>
  </si>
  <si>
    <t>Suicide prevention training our staff</t>
  </si>
  <si>
    <t>Special grant vaccine events</t>
  </si>
  <si>
    <r>
      <rPr>
        <b/>
        <sz val="11"/>
        <rFont val="Calibri"/>
        <family val="2"/>
        <scheme val="minor"/>
      </rPr>
      <t>Caregiver:</t>
    </r>
    <r>
      <rPr>
        <sz val="11"/>
        <rFont val="Calibri"/>
        <family val="2"/>
        <scheme val="minor"/>
      </rPr>
      <t xml:space="preserve">  Case Management, I&amp;R/I&amp;A, Respite, Supplemental Services, Support Group </t>
    </r>
    <r>
      <rPr>
        <b/>
        <sz val="11"/>
        <rFont val="Calibri"/>
        <family val="2"/>
        <scheme val="minor"/>
      </rPr>
      <t>Grandparent</t>
    </r>
    <r>
      <rPr>
        <sz val="11"/>
        <rFont val="Calibri"/>
        <family val="2"/>
        <scheme val="minor"/>
      </rPr>
      <t>:  Case Management. I&amp;R/I&amp;A, Assistance, Supplemental and Support Groups</t>
    </r>
  </si>
  <si>
    <t>Medical Institute of KY, KY Welding Institute, Green River SRNA Academy, Whitley County BOE, Genesis Trucking, Tenn Tech @ Livingston, Western KY University, Career Development Center, Bluegrass Community &amp; Technical College, Campbellsville University, University of Cumberlands, Somerset Community College, Tenn Tech @ Oneida; Tenn Technological University, Support, Work Experience</t>
  </si>
  <si>
    <t>NDWG-79</t>
  </si>
  <si>
    <t>Eastern KY Unversity, Somerset Community College, Kable Group, Western KY University, Career Development Center, Lake Cumberland CDL</t>
  </si>
  <si>
    <t>ITA-17/OJT-0</t>
  </si>
  <si>
    <t>Tenn Tech @ Livingston, Eastern KY University, Western KY University, Campbellville University, Lindsey Wilson College, University of Cumberlands, Somerset Community College, University of KY; Elizabethtown Comm&amp;Tech College; Green River SRNA Academy; Tenn Tech @ Onieda; Lake Cumberland CDL</t>
  </si>
  <si>
    <t>ITA-89/OJT-0/IWT-0</t>
  </si>
  <si>
    <t>Russell County EMS, Green River SRNA Academy, Eastern KY University, Whitley County BOE, Campbellsville University, Lindsey Wilson College, Somerset Community College, Lake Cumberland CDL</t>
  </si>
  <si>
    <t>ITA-35/OJT-0/PWE-38</t>
  </si>
  <si>
    <t>ARC READY</t>
  </si>
  <si>
    <t xml:space="preserve">The grant allowed LCADD to hire a staff member for two years, while assisting local units of governments and non-profits with grant seeking, writing and administration. </t>
  </si>
  <si>
    <t>Creation of new Community Development Specialist and assisting local units of government and non-profits with grant funding.</t>
  </si>
  <si>
    <t/>
  </si>
  <si>
    <t>Total amount of Reserves for 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</si>
</sst>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C00000"/>
      <name val="Calibri"/>
      <family val="2"/>
      <scheme val="minor"/>
    </font>
    <font>
      <b/>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0" fillId="0" borderId="0" xfId="0" applyAlignment="1">
      <alignment wrapText="1"/>
    </xf>
    <xf numFmtId="0" fontId="0" fillId="0" borderId="0" xfId="0" applyAlignment="1">
      <alignment horizontal="center" wrapText="1"/>
    </xf>
    <xf numFmtId="0" fontId="0" fillId="0" borderId="1" xfId="0" applyBorder="1" applyAlignment="1">
      <alignment horizontal="center" wrapText="1"/>
    </xf>
    <xf numFmtId="44" fontId="0" fillId="0" borderId="1" xfId="1" applyFont="1" applyBorder="1" applyAlignment="1">
      <alignment horizontal="center" wrapText="1"/>
    </xf>
    <xf numFmtId="0" fontId="0" fillId="0" borderId="1" xfId="0" applyBorder="1" applyAlignment="1">
      <alignment wrapText="1"/>
    </xf>
    <xf numFmtId="44" fontId="0" fillId="0" borderId="1" xfId="1" applyFont="1" applyBorder="1"/>
    <xf numFmtId="0" fontId="0" fillId="0" borderId="1" xfId="0" applyBorder="1"/>
    <xf numFmtId="9" fontId="0" fillId="0" borderId="1" xfId="2" applyFont="1" applyBorder="1"/>
    <xf numFmtId="0" fontId="0" fillId="0" borderId="1" xfId="0" applyBorder="1" applyAlignment="1"/>
    <xf numFmtId="0" fontId="0" fillId="0" borderId="0" xfId="0" applyBorder="1" applyAlignment="1">
      <alignment wrapText="1"/>
    </xf>
    <xf numFmtId="0" fontId="0" fillId="0" borderId="0" xfId="0" applyBorder="1"/>
    <xf numFmtId="0" fontId="0" fillId="0" borderId="0" xfId="0" applyBorder="1" applyAlignment="1">
      <alignment horizontal="center" vertical="center" wrapText="1"/>
    </xf>
    <xf numFmtId="44" fontId="0" fillId="0" borderId="0" xfId="1" applyFont="1"/>
    <xf numFmtId="0" fontId="0" fillId="0" borderId="0" xfId="0" applyAlignment="1">
      <alignment horizontal="center"/>
    </xf>
    <xf numFmtId="0" fontId="2" fillId="0" borderId="0" xfId="0" applyFont="1"/>
    <xf numFmtId="0" fontId="2" fillId="0" borderId="0" xfId="0" applyFont="1" applyBorder="1"/>
    <xf numFmtId="44" fontId="0" fillId="0" borderId="0" xfId="1" applyFont="1" applyBorder="1"/>
    <xf numFmtId="44" fontId="0" fillId="0" borderId="2" xfId="1" applyFont="1" applyBorder="1"/>
    <xf numFmtId="0" fontId="0" fillId="0" borderId="3" xfId="0" applyBorder="1"/>
    <xf numFmtId="0" fontId="0" fillId="0" borderId="4" xfId="0" applyBorder="1"/>
    <xf numFmtId="0" fontId="0" fillId="0" borderId="5" xfId="0" applyBorder="1"/>
    <xf numFmtId="44" fontId="0" fillId="0" borderId="6" xfId="1" applyFont="1" applyBorder="1"/>
    <xf numFmtId="44" fontId="0" fillId="0" borderId="3" xfId="1" applyFont="1" applyBorder="1"/>
    <xf numFmtId="44" fontId="0" fillId="0" borderId="4" xfId="1" applyFont="1" applyBorder="1"/>
    <xf numFmtId="44" fontId="0" fillId="0" borderId="5" xfId="1" applyFont="1" applyBorder="1"/>
    <xf numFmtId="9" fontId="0" fillId="0" borderId="1" xfId="2" applyFont="1" applyBorder="1" applyAlignment="1">
      <alignment wrapText="1"/>
    </xf>
    <xf numFmtId="9" fontId="0" fillId="0" borderId="0" xfId="2" applyFont="1"/>
    <xf numFmtId="44" fontId="0" fillId="0" borderId="1" xfId="1" applyFont="1" applyBorder="1" applyAlignment="1">
      <alignment horizontal="left" wrapText="1"/>
    </xf>
    <xf numFmtId="44" fontId="0" fillId="0" borderId="1" xfId="1" applyFont="1" applyBorder="1" applyAlignment="1">
      <alignment wrapText="1"/>
    </xf>
    <xf numFmtId="9" fontId="0" fillId="0" borderId="1" xfId="2" applyFont="1" applyBorder="1" applyAlignment="1">
      <alignment horizontal="center" wrapText="1"/>
    </xf>
    <xf numFmtId="44" fontId="0" fillId="0" borderId="1" xfId="0" applyNumberFormat="1" applyBorder="1" applyAlignment="1">
      <alignment horizontal="left" wrapText="1"/>
    </xf>
    <xf numFmtId="9" fontId="0" fillId="0" borderId="1" xfId="2" applyFont="1" applyBorder="1" applyAlignment="1">
      <alignment horizontal="left" wrapText="1"/>
    </xf>
    <xf numFmtId="44" fontId="0" fillId="0" borderId="5" xfId="1" applyFont="1" applyBorder="1" applyAlignment="1">
      <alignment horizontal="left" wrapText="1"/>
    </xf>
    <xf numFmtId="0" fontId="0" fillId="0" borderId="0" xfId="0" applyBorder="1" applyAlignment="1">
      <alignment horizontal="center" wrapText="1"/>
    </xf>
    <xf numFmtId="0" fontId="0" fillId="0" borderId="1" xfId="0" applyBorder="1" applyAlignment="1">
      <alignment horizontal="center" wrapText="1"/>
    </xf>
    <xf numFmtId="44" fontId="0" fillId="0" borderId="1" xfId="1" applyFont="1" applyBorder="1"/>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0" fillId="0" borderId="7" xfId="0" applyFill="1" applyBorder="1" applyAlignment="1">
      <alignment wrapText="1"/>
    </xf>
    <xf numFmtId="0" fontId="0" fillId="0" borderId="0" xfId="0" applyFill="1"/>
    <xf numFmtId="44" fontId="0" fillId="0" borderId="1" xfId="1" applyFont="1" applyFill="1" applyBorder="1"/>
    <xf numFmtId="0" fontId="0" fillId="0" borderId="5" xfId="0" applyBorder="1" applyAlignment="1">
      <alignment horizontal="center" wrapText="1"/>
    </xf>
    <xf numFmtId="0" fontId="0" fillId="0" borderId="1" xfId="0" applyBorder="1" applyAlignment="1">
      <alignment horizontal="center" wrapText="1"/>
    </xf>
    <xf numFmtId="0" fontId="0" fillId="0" borderId="5" xfId="0" applyBorder="1" applyAlignment="1">
      <alignment wrapText="1"/>
    </xf>
    <xf numFmtId="0" fontId="0" fillId="0" borderId="6" xfId="0" applyBorder="1" applyAlignment="1">
      <alignment wrapText="1"/>
    </xf>
    <xf numFmtId="0" fontId="0" fillId="0" borderId="1" xfId="0" applyBorder="1" applyAlignment="1">
      <alignment vertical="top" wrapText="1"/>
    </xf>
    <xf numFmtId="0" fontId="0" fillId="0" borderId="1" xfId="0" applyBorder="1" applyAlignment="1">
      <alignment horizontal="center" wrapText="1"/>
    </xf>
    <xf numFmtId="0" fontId="0" fillId="0" borderId="3" xfId="0" applyBorder="1"/>
    <xf numFmtId="0" fontId="0" fillId="0" borderId="5" xfId="0" applyBorder="1"/>
    <xf numFmtId="0" fontId="0" fillId="0" borderId="5" xfId="0" applyBorder="1" applyAlignment="1">
      <alignment horizontal="center" wrapText="1"/>
    </xf>
    <xf numFmtId="0" fontId="0" fillId="0" borderId="3" xfId="0" applyBorder="1" applyAlignment="1">
      <alignment horizontal="center" wrapText="1"/>
    </xf>
    <xf numFmtId="0" fontId="0" fillId="0" borderId="6" xfId="0" applyBorder="1"/>
    <xf numFmtId="0" fontId="0" fillId="0" borderId="6"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center" wrapText="1"/>
    </xf>
    <xf numFmtId="44" fontId="4" fillId="0" borderId="1" xfId="1" applyFont="1" applyBorder="1" applyAlignment="1">
      <alignment horizontal="center" wrapText="1"/>
    </xf>
    <xf numFmtId="44" fontId="4" fillId="0" borderId="1" xfId="1" applyFont="1" applyBorder="1"/>
    <xf numFmtId="9" fontId="4" fillId="0" borderId="1" xfId="2" applyFont="1" applyBorder="1"/>
    <xf numFmtId="44" fontId="4" fillId="0" borderId="1" xfId="1" applyFont="1" applyFill="1" applyBorder="1"/>
    <xf numFmtId="44" fontId="4" fillId="2" borderId="1" xfId="1" applyFont="1" applyFill="1" applyBorder="1"/>
    <xf numFmtId="0" fontId="0" fillId="0" borderId="5" xfId="0" applyFill="1" applyBorder="1" applyAlignment="1">
      <alignment horizontal="center" wrapText="1"/>
    </xf>
    <xf numFmtId="0" fontId="0" fillId="0" borderId="1" xfId="0" applyFill="1" applyBorder="1" applyAlignment="1">
      <alignment wrapText="1"/>
    </xf>
    <xf numFmtId="0" fontId="0" fillId="0" borderId="0" xfId="0" applyFill="1" applyAlignment="1">
      <alignment wrapText="1"/>
    </xf>
    <xf numFmtId="0" fontId="0" fillId="0" borderId="1" xfId="0" applyFill="1" applyBorder="1" applyAlignment="1">
      <alignment vertical="center" wrapText="1"/>
    </xf>
    <xf numFmtId="0" fontId="0" fillId="0" borderId="0" xfId="0" applyFill="1" applyBorder="1" applyAlignment="1">
      <alignment wrapText="1"/>
    </xf>
    <xf numFmtId="0" fontId="0" fillId="0" borderId="0" xfId="0"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xf numFmtId="0" fontId="0" fillId="0" borderId="3" xfId="0" applyFill="1" applyBorder="1" applyAlignment="1">
      <alignment wrapText="1"/>
    </xf>
    <xf numFmtId="0" fontId="0" fillId="0" borderId="6" xfId="0" applyFill="1" applyBorder="1" applyAlignment="1">
      <alignment wrapText="1"/>
    </xf>
    <xf numFmtId="0" fontId="0" fillId="0" borderId="5" xfId="0" applyFill="1" applyBorder="1" applyAlignment="1">
      <alignment wrapText="1"/>
    </xf>
    <xf numFmtId="0" fontId="0" fillId="0" borderId="5" xfId="0" applyBorder="1" applyAlignment="1">
      <alignment horizontal="center" wrapText="1"/>
    </xf>
    <xf numFmtId="0" fontId="4" fillId="2" borderId="5" xfId="0" applyFont="1" applyFill="1" applyBorder="1" applyAlignment="1">
      <alignment horizontal="center" wrapText="1"/>
    </xf>
    <xf numFmtId="0" fontId="3" fillId="0" borderId="5" xfId="0" applyFont="1" applyFill="1" applyBorder="1" applyAlignment="1">
      <alignment horizontal="center" wrapText="1"/>
    </xf>
    <xf numFmtId="44" fontId="3" fillId="0" borderId="1" xfId="1" applyFont="1" applyBorder="1" applyAlignment="1">
      <alignment horizontal="center" wrapText="1"/>
    </xf>
    <xf numFmtId="44" fontId="3" fillId="0" borderId="1" xfId="1" applyFont="1" applyBorder="1"/>
    <xf numFmtId="9" fontId="3" fillId="0" borderId="1" xfId="2" applyFont="1" applyBorder="1"/>
    <xf numFmtId="44" fontId="3" fillId="0" borderId="1" xfId="1" applyFont="1" applyFill="1" applyBorder="1"/>
    <xf numFmtId="0" fontId="3" fillId="0" borderId="1" xfId="0" applyFont="1" applyBorder="1" applyAlignment="1">
      <alignment wrapText="1"/>
    </xf>
    <xf numFmtId="0" fontId="3" fillId="0" borderId="1" xfId="0" applyFont="1" applyFill="1" applyBorder="1" applyAlignment="1">
      <alignment wrapText="1"/>
    </xf>
    <xf numFmtId="44" fontId="3" fillId="0" borderId="1" xfId="1" applyFont="1" applyFill="1" applyBorder="1" applyAlignment="1">
      <alignment horizontal="center" wrapText="1"/>
    </xf>
    <xf numFmtId="9" fontId="3" fillId="0" borderId="1" xfId="2" applyFont="1" applyFill="1" applyBorder="1"/>
    <xf numFmtId="9" fontId="3" fillId="0" borderId="1" xfId="2" applyNumberFormat="1" applyFont="1" applyBorder="1"/>
    <xf numFmtId="0" fontId="3" fillId="0" borderId="1" xfId="0" applyFont="1" applyFill="1" applyBorder="1" applyAlignment="1"/>
    <xf numFmtId="0" fontId="3" fillId="0" borderId="0" xfId="0" applyFont="1" applyFill="1"/>
    <xf numFmtId="0" fontId="3" fillId="0" borderId="1" xfId="0" applyFont="1" applyFill="1" applyBorder="1" applyAlignment="1">
      <alignment horizontal="center" wrapText="1"/>
    </xf>
    <xf numFmtId="0" fontId="3" fillId="0" borderId="0" xfId="0" applyFont="1" applyFill="1" applyBorder="1"/>
    <xf numFmtId="0" fontId="3" fillId="0" borderId="1" xfId="0" applyFont="1" applyFill="1" applyBorder="1" applyAlignment="1">
      <alignment horizontal="right"/>
    </xf>
    <xf numFmtId="0" fontId="3" fillId="0" borderId="5" xfId="0" applyFont="1" applyFill="1" applyBorder="1"/>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 xfId="0" applyFill="1" applyBorder="1" applyAlignment="1">
      <alignment horizontal="center" vertical="center" wrapText="1"/>
    </xf>
    <xf numFmtId="0" fontId="0" fillId="2" borderId="8" xfId="0" applyFill="1" applyBorder="1" applyAlignment="1">
      <alignment horizontal="center"/>
    </xf>
    <xf numFmtId="0" fontId="0" fillId="2" borderId="9"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3" borderId="8" xfId="0" applyFill="1" applyBorder="1" applyAlignment="1">
      <alignment horizontal="center"/>
    </xf>
    <xf numFmtId="0" fontId="0" fillId="3" borderId="9" xfId="0"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center"/>
    </xf>
    <xf numFmtId="0" fontId="0" fillId="0" borderId="1" xfId="0"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cadd-dc1\users\Users\tony%20meeks\AppData\Local\Microsoft\Windows\INetCache\Content.Outlook\6H87IJ6G\Copy%20of%20FY19%20HB-189%20YEAR-E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heetName val="Aging"/>
      <sheetName val="Workforce"/>
      <sheetName val="Carryover (Reserves)"/>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W37"/>
  <sheetViews>
    <sheetView tabSelected="1" zoomScale="90" zoomScaleNormal="90" workbookViewId="0">
      <pane xSplit="1" ySplit="3" topLeftCell="AN10" activePane="bottomRight" state="frozen"/>
      <selection activeCell="C12" sqref="C12"/>
      <selection pane="topRight" activeCell="C12" sqref="C12"/>
      <selection pane="bottomLeft" activeCell="C12" sqref="C12"/>
      <selection pane="bottomRight" activeCell="AO32" sqref="AO32:AS33"/>
    </sheetView>
  </sheetViews>
  <sheetFormatPr defaultColWidth="8.85546875" defaultRowHeight="15" x14ac:dyDescent="0.25"/>
  <cols>
    <col min="1" max="1" width="33.42578125" style="1" customWidth="1"/>
    <col min="2" max="2" width="14.5703125" customWidth="1"/>
    <col min="3" max="3" width="13.42578125" customWidth="1"/>
    <col min="4" max="4" width="16.42578125" customWidth="1"/>
    <col min="5" max="5" width="16.5703125" customWidth="1"/>
    <col min="6" max="6" width="12" customWidth="1"/>
    <col min="7" max="7" width="18.5703125" customWidth="1"/>
    <col min="8" max="8" width="11.140625" customWidth="1"/>
    <col min="9" max="9" width="13.42578125" customWidth="1"/>
    <col min="10" max="10" width="12.42578125" customWidth="1"/>
    <col min="11" max="11" width="13.42578125" customWidth="1"/>
    <col min="12" max="12" width="11.140625" hidden="1" customWidth="1"/>
    <col min="13" max="13" width="13.42578125" customWidth="1"/>
    <col min="14" max="14" width="13" customWidth="1"/>
    <col min="15" max="15" width="10.85546875" hidden="1" customWidth="1"/>
    <col min="16" max="16" width="11.140625" hidden="1" customWidth="1"/>
    <col min="17" max="17" width="13.5703125" customWidth="1"/>
    <col min="18" max="18" width="14.85546875" customWidth="1"/>
    <col min="19" max="21" width="13.42578125" customWidth="1"/>
    <col min="22" max="22" width="13.5703125" customWidth="1"/>
    <col min="23" max="26" width="13.42578125" customWidth="1"/>
    <col min="27" max="27" width="13.42578125" hidden="1" customWidth="1"/>
    <col min="28" max="29" width="13.42578125" customWidth="1"/>
    <col min="30" max="34" width="33.140625" bestFit="1" customWidth="1"/>
    <col min="35" max="37" width="33.140625" customWidth="1"/>
    <col min="38" max="40" width="33.140625" bestFit="1" customWidth="1"/>
    <col min="41" max="41" width="28.85546875" bestFit="1" customWidth="1"/>
    <col min="42" max="42" width="28.5703125" bestFit="1" customWidth="1"/>
    <col min="43" max="43" width="28.85546875" bestFit="1" customWidth="1"/>
    <col min="44" max="44" width="28.5703125" bestFit="1" customWidth="1"/>
    <col min="45" max="45" width="28.5703125" customWidth="1"/>
    <col min="46" max="46" width="28.5703125" bestFit="1" customWidth="1"/>
    <col min="47" max="47" width="28.5703125" customWidth="1"/>
    <col min="48" max="49" width="28.5703125" bestFit="1" customWidth="1"/>
  </cols>
  <sheetData>
    <row r="1" spans="1:49" ht="15.75" thickBot="1" x14ac:dyDescent="0.3"/>
    <row r="2" spans="1:49" s="41" customFormat="1" ht="15.75" thickBot="1" x14ac:dyDescent="0.3">
      <c r="A2" s="40"/>
      <c r="B2" s="100" t="s">
        <v>41</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2" t="s">
        <v>39</v>
      </c>
      <c r="AE2" s="103"/>
      <c r="AF2" s="103"/>
      <c r="AG2" s="103"/>
      <c r="AH2" s="103"/>
      <c r="AI2" s="103"/>
      <c r="AJ2" s="103"/>
      <c r="AK2" s="103"/>
      <c r="AL2" s="103"/>
      <c r="AM2" s="103"/>
      <c r="AN2" s="103"/>
      <c r="AO2" s="107" t="s">
        <v>40</v>
      </c>
      <c r="AP2" s="108"/>
      <c r="AQ2" s="108"/>
      <c r="AR2" s="108"/>
      <c r="AS2" s="108"/>
      <c r="AT2" s="108"/>
      <c r="AU2" s="108"/>
      <c r="AV2" s="108"/>
      <c r="AW2" s="108"/>
    </row>
    <row r="3" spans="1:49" s="3" customFormat="1" ht="45" x14ac:dyDescent="0.25">
      <c r="A3" s="67"/>
      <c r="B3" s="80" t="s">
        <v>12</v>
      </c>
      <c r="C3" s="80" t="s">
        <v>16</v>
      </c>
      <c r="D3" s="80" t="s">
        <v>13</v>
      </c>
      <c r="E3" s="80" t="s">
        <v>14</v>
      </c>
      <c r="F3" s="80" t="s">
        <v>56</v>
      </c>
      <c r="G3" s="80" t="s">
        <v>15</v>
      </c>
      <c r="H3" s="80" t="s">
        <v>57</v>
      </c>
      <c r="I3" s="80" t="s">
        <v>17</v>
      </c>
      <c r="J3" s="80" t="s">
        <v>104</v>
      </c>
      <c r="K3" s="80" t="s">
        <v>105</v>
      </c>
      <c r="L3" s="79" t="s">
        <v>18</v>
      </c>
      <c r="M3" s="80" t="s">
        <v>19</v>
      </c>
      <c r="N3" s="80" t="s">
        <v>20</v>
      </c>
      <c r="O3" s="79" t="s">
        <v>21</v>
      </c>
      <c r="P3" s="79" t="s">
        <v>22</v>
      </c>
      <c r="Q3" s="80" t="s">
        <v>23</v>
      </c>
      <c r="R3" s="80" t="s">
        <v>24</v>
      </c>
      <c r="S3" s="80" t="s">
        <v>25</v>
      </c>
      <c r="T3" s="80" t="s">
        <v>107</v>
      </c>
      <c r="U3" s="80" t="s">
        <v>106</v>
      </c>
      <c r="V3" s="80" t="s">
        <v>108</v>
      </c>
      <c r="W3" s="80" t="s">
        <v>109</v>
      </c>
      <c r="X3" s="80" t="s">
        <v>110</v>
      </c>
      <c r="Y3" s="80" t="s">
        <v>111</v>
      </c>
      <c r="Z3" s="80" t="s">
        <v>93</v>
      </c>
      <c r="AA3" s="80" t="s">
        <v>94</v>
      </c>
      <c r="AB3" s="80" t="s">
        <v>119</v>
      </c>
      <c r="AC3" s="80" t="s">
        <v>120</v>
      </c>
      <c r="AD3" s="43" t="s">
        <v>61</v>
      </c>
      <c r="AE3" s="43" t="s">
        <v>62</v>
      </c>
      <c r="AF3" s="43" t="s">
        <v>63</v>
      </c>
      <c r="AG3" s="78" t="s">
        <v>98</v>
      </c>
      <c r="AH3" s="78" t="s">
        <v>99</v>
      </c>
      <c r="AI3" s="55" t="s">
        <v>136</v>
      </c>
      <c r="AJ3" s="55" t="s">
        <v>81</v>
      </c>
      <c r="AK3" s="43" t="s">
        <v>64</v>
      </c>
      <c r="AL3" s="78" t="s">
        <v>100</v>
      </c>
      <c r="AM3" s="43" t="s">
        <v>65</v>
      </c>
      <c r="AN3" s="43" t="s">
        <v>66</v>
      </c>
      <c r="AO3" s="43" t="s">
        <v>69</v>
      </c>
      <c r="AP3" s="43" t="s">
        <v>70</v>
      </c>
      <c r="AQ3" s="43" t="s">
        <v>71</v>
      </c>
      <c r="AR3" s="43" t="s">
        <v>72</v>
      </c>
      <c r="AS3" s="60" t="s">
        <v>84</v>
      </c>
      <c r="AT3" s="43"/>
      <c r="AU3" s="57"/>
      <c r="AV3" s="43"/>
      <c r="AW3" s="43"/>
    </row>
    <row r="4" spans="1:49" s="4" customFormat="1" x14ac:dyDescent="0.25">
      <c r="A4" s="28" t="s">
        <v>26</v>
      </c>
      <c r="B4" s="81">
        <f>46112+902894.36</f>
        <v>949006.36</v>
      </c>
      <c r="C4" s="81">
        <v>15819.31</v>
      </c>
      <c r="D4" s="81">
        <f>61822+993559.1</f>
        <v>1055381.1000000001</v>
      </c>
      <c r="E4" s="81">
        <f>41508+916500.07</f>
        <v>958008.07</v>
      </c>
      <c r="F4" s="81">
        <v>62238</v>
      </c>
      <c r="G4" s="81">
        <f>22600+326662.99+65100</f>
        <v>414362.99</v>
      </c>
      <c r="H4" s="81">
        <v>5939</v>
      </c>
      <c r="I4" s="81">
        <v>35134.28</v>
      </c>
      <c r="J4" s="81">
        <f>73069.6-45363.2</f>
        <v>27706.400000000009</v>
      </c>
      <c r="K4" s="81">
        <v>112797</v>
      </c>
      <c r="L4" s="62"/>
      <c r="M4" s="81">
        <f>8275+111751</f>
        <v>120026</v>
      </c>
      <c r="N4" s="81">
        <v>30000</v>
      </c>
      <c r="O4" s="62"/>
      <c r="P4" s="62">
        <v>1000</v>
      </c>
      <c r="Q4" s="87">
        <v>34310</v>
      </c>
      <c r="R4" s="81">
        <f>82118+626718.33</f>
        <v>708836.33</v>
      </c>
      <c r="S4" s="81">
        <f>2500+42500</f>
        <v>45000</v>
      </c>
      <c r="T4" s="81">
        <f>16970-6038.4</f>
        <v>10931.6</v>
      </c>
      <c r="U4" s="81">
        <v>11911</v>
      </c>
      <c r="V4" s="81">
        <f>16995-1994.37</f>
        <v>15000.630000000001</v>
      </c>
      <c r="W4" s="81">
        <v>8064</v>
      </c>
      <c r="X4" s="81">
        <f>4000-3188.58</f>
        <v>811.42000000000007</v>
      </c>
      <c r="Y4" s="81">
        <v>3858</v>
      </c>
      <c r="Z4" s="81">
        <v>723797.33</v>
      </c>
      <c r="AA4" s="81">
        <v>0</v>
      </c>
      <c r="AB4" s="81">
        <f>46520+30480</f>
        <v>77000</v>
      </c>
      <c r="AC4" s="81">
        <v>4301.72</v>
      </c>
      <c r="AD4" s="4">
        <v>116058.34</v>
      </c>
      <c r="AE4" s="4">
        <v>37692.480000000003</v>
      </c>
      <c r="AF4" s="4">
        <v>183071.5</v>
      </c>
      <c r="AG4" s="4">
        <v>94321.14</v>
      </c>
      <c r="AH4" s="4">
        <v>94321.13</v>
      </c>
      <c r="AI4" s="4">
        <v>99975</v>
      </c>
      <c r="AJ4" s="4">
        <v>2148</v>
      </c>
      <c r="AK4" s="4">
        <v>76000</v>
      </c>
      <c r="AM4" s="4">
        <v>20800</v>
      </c>
      <c r="AN4" s="4">
        <v>83453</v>
      </c>
      <c r="AO4" s="4">
        <v>719988.6</v>
      </c>
      <c r="AP4" s="4">
        <v>633672.59</v>
      </c>
      <c r="AQ4" s="4">
        <v>1320554.23</v>
      </c>
      <c r="AR4" s="4" t="s">
        <v>139</v>
      </c>
      <c r="AS4" s="4">
        <v>300000</v>
      </c>
    </row>
    <row r="5" spans="1:49" s="4" customFormat="1" x14ac:dyDescent="0.25">
      <c r="A5" s="28" t="s">
        <v>45</v>
      </c>
      <c r="B5" s="81">
        <v>22210.400000000001</v>
      </c>
      <c r="C5" s="81"/>
      <c r="D5" s="81">
        <v>34934.54</v>
      </c>
      <c r="E5" s="81">
        <v>86984.67</v>
      </c>
      <c r="F5" s="81"/>
      <c r="G5" s="81">
        <v>72315.56</v>
      </c>
      <c r="H5" s="81"/>
      <c r="I5" s="81">
        <v>0</v>
      </c>
      <c r="J5" s="81"/>
      <c r="K5" s="81"/>
      <c r="L5" s="62"/>
      <c r="M5" s="81"/>
      <c r="N5" s="81"/>
      <c r="O5" s="62"/>
      <c r="P5" s="62"/>
      <c r="Q5" s="87">
        <v>79.88</v>
      </c>
      <c r="R5" s="81"/>
      <c r="S5" s="81"/>
      <c r="T5" s="85"/>
      <c r="U5" s="81"/>
      <c r="V5" s="81"/>
      <c r="W5" s="81"/>
      <c r="X5" s="85"/>
      <c r="Y5" s="81"/>
      <c r="Z5" s="81">
        <v>122434.82</v>
      </c>
      <c r="AA5" s="81"/>
      <c r="AB5" s="81"/>
      <c r="AC5" s="81"/>
      <c r="AJ5" s="4">
        <v>997</v>
      </c>
      <c r="AK5" s="4">
        <v>1114</v>
      </c>
      <c r="AL5" s="4">
        <v>3113</v>
      </c>
      <c r="AM5" s="4">
        <v>3</v>
      </c>
      <c r="AO5" s="4" t="s">
        <v>139</v>
      </c>
      <c r="AP5" s="4" t="s">
        <v>139</v>
      </c>
      <c r="AQ5" s="4" t="s">
        <v>139</v>
      </c>
      <c r="AR5" s="4" t="s">
        <v>139</v>
      </c>
      <c r="AS5" s="4" t="s">
        <v>139</v>
      </c>
    </row>
    <row r="6" spans="1:49" s="4" customFormat="1" x14ac:dyDescent="0.25">
      <c r="A6" s="28" t="s">
        <v>46</v>
      </c>
      <c r="B6" s="81">
        <f>SUM(B4:B5)</f>
        <v>971216.76</v>
      </c>
      <c r="C6" s="81">
        <f t="shared" ref="C6:AC6" si="0">SUM(C4:C5)</f>
        <v>15819.31</v>
      </c>
      <c r="D6" s="81">
        <f t="shared" si="0"/>
        <v>1090315.6400000001</v>
      </c>
      <c r="E6" s="81">
        <f t="shared" si="0"/>
        <v>1044992.74</v>
      </c>
      <c r="F6" s="81">
        <f t="shared" si="0"/>
        <v>62238</v>
      </c>
      <c r="G6" s="81">
        <f t="shared" si="0"/>
        <v>486678.55</v>
      </c>
      <c r="H6" s="81">
        <f t="shared" si="0"/>
        <v>5939</v>
      </c>
      <c r="I6" s="81">
        <f t="shared" ref="I6:J6" si="1">SUM(I4:I5)</f>
        <v>35134.28</v>
      </c>
      <c r="J6" s="81">
        <f t="shared" si="1"/>
        <v>27706.400000000009</v>
      </c>
      <c r="K6" s="81">
        <f t="shared" si="0"/>
        <v>112797</v>
      </c>
      <c r="L6" s="62">
        <f t="shared" si="0"/>
        <v>0</v>
      </c>
      <c r="M6" s="81">
        <f t="shared" si="0"/>
        <v>120026</v>
      </c>
      <c r="N6" s="81">
        <f t="shared" si="0"/>
        <v>30000</v>
      </c>
      <c r="O6" s="62">
        <f t="shared" si="0"/>
        <v>0</v>
      </c>
      <c r="P6" s="62">
        <f t="shared" si="0"/>
        <v>1000</v>
      </c>
      <c r="Q6" s="87">
        <f t="shared" si="0"/>
        <v>34389.879999999997</v>
      </c>
      <c r="R6" s="81">
        <f t="shared" si="0"/>
        <v>708836.33</v>
      </c>
      <c r="S6" s="81">
        <f t="shared" si="0"/>
        <v>45000</v>
      </c>
      <c r="T6" s="81">
        <f t="shared" ref="T6:U6" si="2">SUM(T4:T5)</f>
        <v>10931.6</v>
      </c>
      <c r="U6" s="81">
        <f t="shared" si="2"/>
        <v>11911</v>
      </c>
      <c r="V6" s="81">
        <f t="shared" si="0"/>
        <v>15000.630000000001</v>
      </c>
      <c r="W6" s="81">
        <f t="shared" si="0"/>
        <v>8064</v>
      </c>
      <c r="X6" s="81">
        <f t="shared" si="0"/>
        <v>811.42000000000007</v>
      </c>
      <c r="Y6" s="81">
        <f t="shared" ref="Y6:AB6" si="3">SUM(Y4:Y5)</f>
        <v>3858</v>
      </c>
      <c r="Z6" s="81">
        <f t="shared" ref="Z6:AA6" si="4">SUM(Z4:Z5)</f>
        <v>846232.14999999991</v>
      </c>
      <c r="AA6" s="81">
        <f t="shared" si="4"/>
        <v>0</v>
      </c>
      <c r="AB6" s="81">
        <f t="shared" si="3"/>
        <v>77000</v>
      </c>
      <c r="AC6" s="81">
        <f t="shared" si="0"/>
        <v>4301.72</v>
      </c>
      <c r="AD6" s="4">
        <f>SUM(AD4:AD5)</f>
        <v>116058.34</v>
      </c>
      <c r="AE6" s="4">
        <f t="shared" ref="AE6:AW6" si="5">SUM(AE4:AE5)</f>
        <v>37692.480000000003</v>
      </c>
      <c r="AF6" s="4">
        <f t="shared" si="5"/>
        <v>183071.5</v>
      </c>
      <c r="AG6" s="4">
        <f t="shared" ref="AG6" si="6">SUM(AG4:AG5)</f>
        <v>94321.14</v>
      </c>
      <c r="AH6" s="4">
        <f t="shared" ref="AH6" si="7">SUM(AH4:AH5)</f>
        <v>94321.13</v>
      </c>
      <c r="AI6" s="4">
        <f t="shared" ref="AI6" si="8">SUM(AI4:AI5)</f>
        <v>99975</v>
      </c>
      <c r="AJ6" s="4">
        <f t="shared" ref="AJ6" si="9">SUM(AJ4:AJ5)</f>
        <v>3145</v>
      </c>
      <c r="AK6" s="4">
        <f t="shared" ref="AK6:AL6" si="10">SUM(AK4:AK5)</f>
        <v>77114</v>
      </c>
      <c r="AL6" s="4">
        <f t="shared" si="10"/>
        <v>3113</v>
      </c>
      <c r="AM6" s="4">
        <f t="shared" si="5"/>
        <v>20803</v>
      </c>
      <c r="AN6" s="4">
        <f t="shared" si="5"/>
        <v>83453</v>
      </c>
      <c r="AO6" s="4">
        <v>719988.6</v>
      </c>
      <c r="AP6" s="4">
        <v>633672.59</v>
      </c>
      <c r="AQ6" s="4">
        <v>1320554.23</v>
      </c>
      <c r="AR6" s="4">
        <v>0</v>
      </c>
      <c r="AS6" s="4">
        <v>300000</v>
      </c>
      <c r="AT6" s="4">
        <f t="shared" si="5"/>
        <v>0</v>
      </c>
      <c r="AU6" s="4">
        <f t="shared" ref="AU6" si="11">SUM(AU4:AU5)</f>
        <v>0</v>
      </c>
      <c r="AV6" s="4">
        <f t="shared" si="5"/>
        <v>0</v>
      </c>
      <c r="AW6" s="4">
        <f t="shared" si="5"/>
        <v>0</v>
      </c>
    </row>
    <row r="7" spans="1:49" s="6" customFormat="1" x14ac:dyDescent="0.25">
      <c r="A7" s="29" t="s">
        <v>0</v>
      </c>
      <c r="B7" s="82">
        <v>29813.09</v>
      </c>
      <c r="C7" s="82"/>
      <c r="D7" s="82">
        <v>46344.98</v>
      </c>
      <c r="E7" s="82">
        <v>32745.59</v>
      </c>
      <c r="F7" s="82"/>
      <c r="G7" s="82">
        <v>16008.55</v>
      </c>
      <c r="H7" s="82"/>
      <c r="I7" s="82"/>
      <c r="J7" s="82"/>
      <c r="K7" s="82"/>
      <c r="L7" s="63"/>
      <c r="M7" s="82">
        <v>6290.33</v>
      </c>
      <c r="N7" s="82"/>
      <c r="O7" s="63"/>
      <c r="P7" s="63"/>
      <c r="Q7" s="84"/>
      <c r="R7" s="82">
        <v>64263.360000000001</v>
      </c>
      <c r="S7" s="82">
        <v>1812.06</v>
      </c>
      <c r="T7" s="82"/>
      <c r="U7" s="82"/>
      <c r="V7" s="82"/>
      <c r="W7" s="82"/>
      <c r="X7" s="82"/>
      <c r="Y7" s="82"/>
      <c r="Z7" s="82"/>
      <c r="AA7" s="82"/>
      <c r="AB7" s="82">
        <v>18176.400000000001</v>
      </c>
      <c r="AC7" s="82"/>
      <c r="AD7" s="36"/>
      <c r="AE7" s="36"/>
      <c r="AF7" s="36"/>
      <c r="AG7" s="36"/>
      <c r="AH7" s="36"/>
      <c r="AI7" s="36"/>
      <c r="AJ7" s="36"/>
      <c r="AK7" s="36"/>
      <c r="AL7" s="36"/>
      <c r="AM7" s="36"/>
      <c r="AN7" s="36"/>
      <c r="AO7" s="36">
        <v>55602.8</v>
      </c>
      <c r="AP7" s="36">
        <v>53827.53</v>
      </c>
      <c r="AQ7" s="36">
        <v>12321.21</v>
      </c>
      <c r="AR7" s="36" t="s">
        <v>139</v>
      </c>
      <c r="AS7" s="36">
        <v>18537.52</v>
      </c>
      <c r="AT7" s="36"/>
      <c r="AU7" s="36"/>
      <c r="AV7" s="36"/>
      <c r="AW7" s="36"/>
    </row>
    <row r="8" spans="1:49" s="8" customFormat="1" x14ac:dyDescent="0.25">
      <c r="A8" s="26" t="s">
        <v>1</v>
      </c>
      <c r="B8" s="83">
        <f>B7/B6</f>
        <v>3.0696638719455376E-2</v>
      </c>
      <c r="C8" s="83">
        <f t="shared" ref="C8:AC8" si="12">C7/C6</f>
        <v>0</v>
      </c>
      <c r="D8" s="89">
        <f>D7/D6</f>
        <v>4.2506021467324816E-2</v>
      </c>
      <c r="E8" s="83">
        <f t="shared" si="12"/>
        <v>3.1335710523692252E-2</v>
      </c>
      <c r="F8" s="83">
        <f t="shared" ref="F8" si="13">F7/F6</f>
        <v>0</v>
      </c>
      <c r="G8" s="83">
        <f t="shared" si="12"/>
        <v>3.2893477635289249E-2</v>
      </c>
      <c r="H8" s="83">
        <f t="shared" si="12"/>
        <v>0</v>
      </c>
      <c r="I8" s="83">
        <f t="shared" si="12"/>
        <v>0</v>
      </c>
      <c r="J8" s="83">
        <f t="shared" ref="J8" si="14">J7/J6</f>
        <v>0</v>
      </c>
      <c r="K8" s="83">
        <f t="shared" si="12"/>
        <v>0</v>
      </c>
      <c r="L8" s="64" t="e">
        <f t="shared" si="12"/>
        <v>#DIV/0!</v>
      </c>
      <c r="M8" s="83">
        <f t="shared" si="12"/>
        <v>5.2408061586656222E-2</v>
      </c>
      <c r="N8" s="83">
        <f t="shared" si="12"/>
        <v>0</v>
      </c>
      <c r="O8" s="64" t="e">
        <f t="shared" si="12"/>
        <v>#DIV/0!</v>
      </c>
      <c r="P8" s="64">
        <f t="shared" si="12"/>
        <v>0</v>
      </c>
      <c r="Q8" s="88">
        <f t="shared" si="12"/>
        <v>0</v>
      </c>
      <c r="R8" s="83">
        <f t="shared" si="12"/>
        <v>9.0660364431377274E-2</v>
      </c>
      <c r="S8" s="83">
        <f t="shared" si="12"/>
        <v>4.0267999999999998E-2</v>
      </c>
      <c r="T8" s="83">
        <f t="shared" ref="T8:U8" si="15">T7/T6</f>
        <v>0</v>
      </c>
      <c r="U8" s="83">
        <f t="shared" si="15"/>
        <v>0</v>
      </c>
      <c r="V8" s="83">
        <f t="shared" si="12"/>
        <v>0</v>
      </c>
      <c r="W8" s="83">
        <f t="shared" si="12"/>
        <v>0</v>
      </c>
      <c r="X8" s="83">
        <f t="shared" si="12"/>
        <v>0</v>
      </c>
      <c r="Y8" s="83">
        <f t="shared" ref="Y8:AB8" si="16">Y7/Y6</f>
        <v>0</v>
      </c>
      <c r="Z8" s="83">
        <f t="shared" ref="Z8:AA8" si="17">Z7/Z6</f>
        <v>0</v>
      </c>
      <c r="AA8" s="83" t="e">
        <f t="shared" si="17"/>
        <v>#DIV/0!</v>
      </c>
      <c r="AB8" s="83">
        <f t="shared" si="16"/>
        <v>0.23605714285714288</v>
      </c>
      <c r="AC8" s="83">
        <f t="shared" si="12"/>
        <v>0</v>
      </c>
      <c r="AD8" s="8">
        <f t="shared" ref="AD8:AW8" si="18">AD7/AD6</f>
        <v>0</v>
      </c>
      <c r="AE8" s="8">
        <f t="shared" si="18"/>
        <v>0</v>
      </c>
      <c r="AF8" s="8">
        <f t="shared" si="18"/>
        <v>0</v>
      </c>
      <c r="AG8" s="8">
        <f t="shared" ref="AG8" si="19">AG7/AG6</f>
        <v>0</v>
      </c>
      <c r="AH8" s="8">
        <f t="shared" ref="AH8" si="20">AH7/AH6</f>
        <v>0</v>
      </c>
      <c r="AI8" s="8">
        <f t="shared" ref="AI8" si="21">AI7/AI6</f>
        <v>0</v>
      </c>
      <c r="AJ8" s="8">
        <f>AJ7/AJ6</f>
        <v>0</v>
      </c>
      <c r="AK8" s="8">
        <f>AK7/AK6</f>
        <v>0</v>
      </c>
      <c r="AL8" s="8">
        <f>AL7/AL6</f>
        <v>0</v>
      </c>
      <c r="AM8" s="8">
        <f t="shared" si="18"/>
        <v>0</v>
      </c>
      <c r="AN8" s="8">
        <f t="shared" si="18"/>
        <v>0</v>
      </c>
      <c r="AO8" s="8">
        <f t="shared" si="18"/>
        <v>7.7227333877230839E-2</v>
      </c>
      <c r="AP8" s="8">
        <f t="shared" si="18"/>
        <v>8.494533430900017E-2</v>
      </c>
      <c r="AQ8" s="8">
        <f t="shared" si="18"/>
        <v>9.3303324619996852E-3</v>
      </c>
      <c r="AR8" s="8" t="e">
        <f t="shared" si="18"/>
        <v>#VALUE!</v>
      </c>
      <c r="AS8" s="8">
        <f t="shared" si="18"/>
        <v>6.1791733333333335E-2</v>
      </c>
      <c r="AT8" s="8" t="e">
        <f t="shared" si="18"/>
        <v>#DIV/0!</v>
      </c>
      <c r="AU8" s="8" t="e">
        <f t="shared" ref="AU8" si="22">AU7/AU6</f>
        <v>#DIV/0!</v>
      </c>
      <c r="AV8" s="8" t="e">
        <f t="shared" si="18"/>
        <v>#DIV/0!</v>
      </c>
      <c r="AW8" s="8" t="e">
        <f t="shared" si="18"/>
        <v>#DIV/0!</v>
      </c>
    </row>
    <row r="9" spans="1:49" s="6" customFormat="1" x14ac:dyDescent="0.25">
      <c r="A9" s="29" t="s">
        <v>2</v>
      </c>
      <c r="B9" s="84">
        <v>641077.22</v>
      </c>
      <c r="C9" s="84">
        <v>11873.62</v>
      </c>
      <c r="D9" s="84">
        <v>846939.11</v>
      </c>
      <c r="E9" s="84">
        <v>559403.43999999994</v>
      </c>
      <c r="F9" s="84">
        <v>37154.199999999997</v>
      </c>
      <c r="G9" s="84">
        <v>293778.11</v>
      </c>
      <c r="H9" s="84">
        <v>4105.1000000000004</v>
      </c>
      <c r="I9" s="84">
        <v>28506.7</v>
      </c>
      <c r="J9" s="84">
        <f>73069.6-45363.2</f>
        <v>27706.400000000009</v>
      </c>
      <c r="K9" s="84">
        <v>77280.899999999994</v>
      </c>
      <c r="L9" s="66"/>
      <c r="M9" s="84">
        <v>103389.93</v>
      </c>
      <c r="N9" s="84">
        <v>16806.13</v>
      </c>
      <c r="O9" s="66"/>
      <c r="P9" s="65">
        <v>1000</v>
      </c>
      <c r="Q9" s="84">
        <v>26657.43</v>
      </c>
      <c r="R9" s="84">
        <v>580861.44999999995</v>
      </c>
      <c r="S9" s="84">
        <v>35805.85</v>
      </c>
      <c r="T9" s="84">
        <f>14592.24-4463.82</f>
        <v>10128.42</v>
      </c>
      <c r="U9" s="84">
        <v>6253.28</v>
      </c>
      <c r="V9" s="84">
        <f>6914.81-1465.5</f>
        <v>5449.31</v>
      </c>
      <c r="W9" s="84">
        <v>3359.07</v>
      </c>
      <c r="X9" s="84">
        <f>2656.72-2400.4</f>
        <v>256.31999999999971</v>
      </c>
      <c r="Y9" s="84">
        <v>3034.53</v>
      </c>
      <c r="Z9" s="84">
        <v>846232.15</v>
      </c>
      <c r="AA9" s="84">
        <v>0</v>
      </c>
      <c r="AB9" s="84">
        <v>29761.68</v>
      </c>
      <c r="AC9" s="84">
        <v>4172</v>
      </c>
      <c r="AD9" s="42">
        <v>85485</v>
      </c>
      <c r="AE9" s="42">
        <v>37717</v>
      </c>
      <c r="AF9" s="42">
        <v>143305</v>
      </c>
      <c r="AG9" s="42">
        <v>64437</v>
      </c>
      <c r="AH9" s="42">
        <v>81590</v>
      </c>
      <c r="AI9" s="42">
        <v>30089</v>
      </c>
      <c r="AJ9" s="42">
        <v>2128</v>
      </c>
      <c r="AK9" s="42">
        <v>60966</v>
      </c>
      <c r="AL9" s="42">
        <v>3113</v>
      </c>
      <c r="AM9" s="42">
        <v>18702</v>
      </c>
      <c r="AN9" s="42">
        <v>71497</v>
      </c>
      <c r="AO9" s="4">
        <v>546595.06999999995</v>
      </c>
      <c r="AP9" s="4">
        <v>492157.84</v>
      </c>
      <c r="AQ9" s="4">
        <v>536469.41</v>
      </c>
      <c r="AR9" s="4" t="s">
        <v>139</v>
      </c>
      <c r="AS9" s="4">
        <v>165727.89000000001</v>
      </c>
      <c r="AT9" s="42"/>
      <c r="AU9" s="42"/>
      <c r="AV9" s="42"/>
      <c r="AW9" s="42"/>
    </row>
    <row r="10" spans="1:49" s="8" customFormat="1" x14ac:dyDescent="0.25">
      <c r="A10" s="26" t="s">
        <v>3</v>
      </c>
      <c r="B10" s="83">
        <f>B9/B6</f>
        <v>0.66007635617820271</v>
      </c>
      <c r="C10" s="83">
        <f t="shared" ref="C10:AC10" si="23">C9/C6</f>
        <v>0.75057761684928115</v>
      </c>
      <c r="D10" s="83">
        <f t="shared" si="23"/>
        <v>0.7767834184236776</v>
      </c>
      <c r="E10" s="83">
        <f t="shared" si="23"/>
        <v>0.53531801570219517</v>
      </c>
      <c r="F10" s="83">
        <f t="shared" ref="F10" si="24">F9/F6</f>
        <v>0.59696969696969693</v>
      </c>
      <c r="G10" s="83">
        <f t="shared" si="23"/>
        <v>0.60363891114576551</v>
      </c>
      <c r="H10" s="83">
        <f t="shared" si="23"/>
        <v>0.69121064152214184</v>
      </c>
      <c r="I10" s="83">
        <f t="shared" si="23"/>
        <v>0.81136428582000264</v>
      </c>
      <c r="J10" s="83">
        <f t="shared" ref="J10" si="25">J9/J6</f>
        <v>1</v>
      </c>
      <c r="K10" s="83">
        <f t="shared" si="23"/>
        <v>0.68513258331338589</v>
      </c>
      <c r="L10" s="64" t="e">
        <f t="shared" si="23"/>
        <v>#DIV/0!</v>
      </c>
      <c r="M10" s="83">
        <f t="shared" si="23"/>
        <v>0.86139611417526196</v>
      </c>
      <c r="N10" s="83">
        <f t="shared" si="23"/>
        <v>0.56020433333333342</v>
      </c>
      <c r="O10" s="64" t="e">
        <f t="shared" si="23"/>
        <v>#DIV/0!</v>
      </c>
      <c r="P10" s="64">
        <f t="shared" si="23"/>
        <v>1</v>
      </c>
      <c r="Q10" s="88">
        <f t="shared" si="23"/>
        <v>0.77515332999126496</v>
      </c>
      <c r="R10" s="83">
        <f t="shared" si="23"/>
        <v>0.81945778653867807</v>
      </c>
      <c r="S10" s="83">
        <f t="shared" si="23"/>
        <v>0.79568555555555553</v>
      </c>
      <c r="T10" s="83">
        <f t="shared" ref="T10:U10" si="26">T9/T6</f>
        <v>0.92652676643858167</v>
      </c>
      <c r="U10" s="83">
        <f t="shared" si="26"/>
        <v>0.5250004197800352</v>
      </c>
      <c r="V10" s="83">
        <f t="shared" si="23"/>
        <v>0.3632720759061453</v>
      </c>
      <c r="W10" s="83">
        <f t="shared" si="23"/>
        <v>0.41655133928571431</v>
      </c>
      <c r="X10" s="83">
        <f t="shared" si="23"/>
        <v>0.31589066081683925</v>
      </c>
      <c r="Y10" s="83">
        <f t="shared" ref="Y10:AB10" si="27">Y9/Y6</f>
        <v>0.78655520995334371</v>
      </c>
      <c r="Z10" s="83">
        <f t="shared" ref="Z10:AA10" si="28">Z9/Z6</f>
        <v>1.0000000000000002</v>
      </c>
      <c r="AA10" s="83" t="e">
        <f t="shared" si="28"/>
        <v>#DIV/0!</v>
      </c>
      <c r="AB10" s="83">
        <f t="shared" si="27"/>
        <v>0.38651532467532468</v>
      </c>
      <c r="AC10" s="83">
        <f t="shared" si="23"/>
        <v>0.96984462029141827</v>
      </c>
      <c r="AD10" s="8">
        <f t="shared" ref="AD10:AW10" si="29">AD9/AD6</f>
        <v>0.73656921165682709</v>
      </c>
      <c r="AE10" s="8">
        <f t="shared" si="29"/>
        <v>1.0006505276384041</v>
      </c>
      <c r="AF10" s="8">
        <f t="shared" si="29"/>
        <v>0.78278159079922327</v>
      </c>
      <c r="AG10" s="8">
        <f t="shared" ref="AG10" si="30">AG9/AG6</f>
        <v>0.68316604315851148</v>
      </c>
      <c r="AH10" s="8">
        <f t="shared" ref="AH10" si="31">AH9/AH6</f>
        <v>0.86502356364899358</v>
      </c>
      <c r="AI10" s="8">
        <f>AI9/AI6</f>
        <v>0.30096524131032759</v>
      </c>
      <c r="AJ10" s="8">
        <f>AJ9/AJ6</f>
        <v>0.67662957074721786</v>
      </c>
      <c r="AK10" s="8">
        <f t="shared" ref="AK10:AL10" si="32">AK9/AK6</f>
        <v>0.79059574136991984</v>
      </c>
      <c r="AL10" s="8">
        <f t="shared" si="32"/>
        <v>1</v>
      </c>
      <c r="AM10" s="8">
        <f t="shared" si="29"/>
        <v>0.89900495120896029</v>
      </c>
      <c r="AN10" s="8">
        <f t="shared" si="29"/>
        <v>0.85673373036319844</v>
      </c>
      <c r="AO10" s="8">
        <f>AO9/AO6</f>
        <v>0.75917183966523905</v>
      </c>
      <c r="AP10" s="8">
        <f>AP9/AP6</f>
        <v>0.7766752858917253</v>
      </c>
      <c r="AQ10" s="8">
        <f>AQ9/AQ6</f>
        <v>0.40624564884397063</v>
      </c>
      <c r="AR10" s="8" t="e">
        <f t="shared" ref="AR10" si="33">AR9/AR6</f>
        <v>#VALUE!</v>
      </c>
      <c r="AS10" s="8">
        <f>AS9/AS6</f>
        <v>0.55242630000000004</v>
      </c>
      <c r="AT10" s="8" t="e">
        <f t="shared" si="29"/>
        <v>#DIV/0!</v>
      </c>
      <c r="AU10" s="8" t="e">
        <f t="shared" ref="AU10" si="34">AU9/AU6</f>
        <v>#DIV/0!</v>
      </c>
      <c r="AV10" s="8" t="e">
        <f t="shared" si="29"/>
        <v>#DIV/0!</v>
      </c>
      <c r="AW10" s="8" t="e">
        <f t="shared" si="29"/>
        <v>#DIV/0!</v>
      </c>
    </row>
    <row r="11" spans="1:49" s="6" customFormat="1" x14ac:dyDescent="0.25">
      <c r="A11" s="29" t="s">
        <v>4</v>
      </c>
      <c r="B11" s="82">
        <f>15909.89+40708.82</f>
        <v>56618.71</v>
      </c>
      <c r="C11" s="82">
        <v>3812.84</v>
      </c>
      <c r="D11" s="82">
        <f>14632+73031.04</f>
        <v>87663.039999999994</v>
      </c>
      <c r="E11" s="82">
        <f>8377.42+0</f>
        <v>8377.42</v>
      </c>
      <c r="F11" s="82">
        <v>4201.7</v>
      </c>
      <c r="G11" s="82">
        <f>5024.19+10090.73</f>
        <v>15114.919999999998</v>
      </c>
      <c r="H11" s="82">
        <v>1395.2</v>
      </c>
      <c r="I11" s="82">
        <v>4009.54</v>
      </c>
      <c r="J11" s="82"/>
      <c r="K11" s="82"/>
      <c r="L11" s="63"/>
      <c r="M11" s="82">
        <v>10016.16</v>
      </c>
      <c r="N11" s="82">
        <v>8167.56</v>
      </c>
      <c r="O11" s="63"/>
      <c r="P11" s="63"/>
      <c r="Q11" s="84">
        <v>7732.45</v>
      </c>
      <c r="R11" s="82">
        <f>17368.27+41351.05</f>
        <v>58719.320000000007</v>
      </c>
      <c r="S11" s="82">
        <f>663.28+6320.25</f>
        <v>6983.53</v>
      </c>
      <c r="T11" s="82">
        <f>2066.97-1574.58</f>
        <v>492.38999999999987</v>
      </c>
      <c r="U11" s="82">
        <v>2534.31</v>
      </c>
      <c r="V11" s="82">
        <f>528.87-528.87</f>
        <v>0</v>
      </c>
      <c r="W11" s="82">
        <v>422.67</v>
      </c>
      <c r="X11" s="82">
        <f>828.57-788.18</f>
        <v>40.3900000000001</v>
      </c>
      <c r="Y11" s="82">
        <v>808.51</v>
      </c>
      <c r="Z11" s="82">
        <v>0</v>
      </c>
      <c r="AA11" s="82"/>
      <c r="AB11" s="82">
        <v>1889.55</v>
      </c>
      <c r="AC11" s="82">
        <v>127.1</v>
      </c>
      <c r="AD11" s="36">
        <v>30573.34</v>
      </c>
      <c r="AE11" s="36">
        <v>18200.919999999998</v>
      </c>
      <c r="AF11" s="36">
        <v>39766.5</v>
      </c>
      <c r="AG11" s="36">
        <v>14115.14</v>
      </c>
      <c r="AH11" s="36">
        <v>12072</v>
      </c>
      <c r="AI11" s="36">
        <v>8466</v>
      </c>
      <c r="AJ11" s="36">
        <v>1017</v>
      </c>
      <c r="AK11" s="36">
        <v>16148</v>
      </c>
      <c r="AL11" s="36">
        <v>0</v>
      </c>
      <c r="AM11" s="36">
        <v>1412</v>
      </c>
      <c r="AN11" s="36">
        <v>20951</v>
      </c>
      <c r="AO11" s="36">
        <v>92366.25</v>
      </c>
      <c r="AP11" s="36">
        <v>71878.960000000006</v>
      </c>
      <c r="AQ11" s="36">
        <v>96690.84</v>
      </c>
      <c r="AR11" s="36" t="s">
        <v>139</v>
      </c>
      <c r="AS11" s="36">
        <v>3930.59</v>
      </c>
      <c r="AT11" s="36"/>
      <c r="AU11" s="36"/>
      <c r="AV11" s="36"/>
      <c r="AW11" s="36"/>
    </row>
    <row r="12" spans="1:49" s="8" customFormat="1" ht="15.75" customHeight="1" x14ac:dyDescent="0.25">
      <c r="A12" s="26" t="s">
        <v>5</v>
      </c>
      <c r="B12" s="83">
        <f>B11/B6</f>
        <v>5.8296677252563059E-2</v>
      </c>
      <c r="C12" s="83">
        <f t="shared" ref="C12:AC12" si="35">C11/C6</f>
        <v>0.24102441889058374</v>
      </c>
      <c r="D12" s="83">
        <f t="shared" si="35"/>
        <v>8.0401524828168092E-2</v>
      </c>
      <c r="E12" s="83">
        <f t="shared" si="35"/>
        <v>8.0167255516052673E-3</v>
      </c>
      <c r="F12" s="83">
        <f t="shared" ref="F12" si="36">F11/F6</f>
        <v>6.7510202770011893E-2</v>
      </c>
      <c r="G12" s="83">
        <f>G11/G6</f>
        <v>3.1057296443412184E-2</v>
      </c>
      <c r="H12" s="83">
        <f t="shared" si="35"/>
        <v>0.2349217039905708</v>
      </c>
      <c r="I12" s="83">
        <f t="shared" si="35"/>
        <v>0.11412045443936805</v>
      </c>
      <c r="J12" s="83">
        <f t="shared" ref="J12" si="37">J11/J6</f>
        <v>0</v>
      </c>
      <c r="K12" s="83">
        <f t="shared" si="35"/>
        <v>0</v>
      </c>
      <c r="L12" s="64" t="e">
        <f t="shared" si="35"/>
        <v>#DIV/0!</v>
      </c>
      <c r="M12" s="83">
        <f t="shared" si="35"/>
        <v>8.3449919184176755E-2</v>
      </c>
      <c r="N12" s="83">
        <f t="shared" si="35"/>
        <v>0.27225199999999999</v>
      </c>
      <c r="O12" s="64" t="e">
        <f t="shared" si="35"/>
        <v>#DIV/0!</v>
      </c>
      <c r="P12" s="64">
        <f t="shared" si="35"/>
        <v>0</v>
      </c>
      <c r="Q12" s="88">
        <f t="shared" si="35"/>
        <v>0.22484667000873515</v>
      </c>
      <c r="R12" s="83">
        <f t="shared" si="35"/>
        <v>8.2839038456169439E-2</v>
      </c>
      <c r="S12" s="83">
        <f t="shared" si="35"/>
        <v>0.15518955555555555</v>
      </c>
      <c r="T12" s="83">
        <f t="shared" ref="T12:U12" si="38">T11/T6</f>
        <v>4.5042811665263992E-2</v>
      </c>
      <c r="U12" s="83">
        <f t="shared" si="38"/>
        <v>0.21277054823272604</v>
      </c>
      <c r="V12" s="83">
        <f t="shared" si="35"/>
        <v>0</v>
      </c>
      <c r="W12" s="83">
        <f t="shared" si="35"/>
        <v>5.2414434523809526E-2</v>
      </c>
      <c r="X12" s="83">
        <f t="shared" si="35"/>
        <v>4.9776934263390228E-2</v>
      </c>
      <c r="Y12" s="83">
        <f t="shared" ref="Y12:AB12" si="39">Y11/Y6</f>
        <v>0.20956713322965267</v>
      </c>
      <c r="Z12" s="83">
        <f t="shared" ref="Z12:AA12" si="40">Z11/Z6</f>
        <v>0</v>
      </c>
      <c r="AA12" s="83" t="e">
        <f t="shared" si="40"/>
        <v>#DIV/0!</v>
      </c>
      <c r="AB12" s="83">
        <f t="shared" si="39"/>
        <v>2.4539610389610389E-2</v>
      </c>
      <c r="AC12" s="83">
        <f t="shared" si="35"/>
        <v>2.9546321006481125E-2</v>
      </c>
      <c r="AD12" s="8">
        <f t="shared" ref="AD12:AW12" si="41">AD11/AD6</f>
        <v>0.26343078834317296</v>
      </c>
      <c r="AE12" s="8">
        <f t="shared" si="41"/>
        <v>0.48287934357198031</v>
      </c>
      <c r="AF12" s="8">
        <f t="shared" si="41"/>
        <v>0.21721840920077676</v>
      </c>
      <c r="AG12" s="8">
        <f t="shared" ref="AG12" si="42">AG11/AG6</f>
        <v>0.14964980279076354</v>
      </c>
      <c r="AH12" s="8">
        <f t="shared" ref="AH12" si="43">AH11/AH6</f>
        <v>0.12798828852029231</v>
      </c>
      <c r="AI12" s="8">
        <f>AI11/AI6</f>
        <v>8.4681170292573146E-2</v>
      </c>
      <c r="AJ12" s="8">
        <f>AJ11/AJ6</f>
        <v>0.3233704292527822</v>
      </c>
      <c r="AK12" s="8">
        <f t="shared" ref="AK12:AL12" si="44">AK11/AK6</f>
        <v>0.20940425863008014</v>
      </c>
      <c r="AL12" s="8">
        <f t="shared" si="44"/>
        <v>0</v>
      </c>
      <c r="AM12" s="8">
        <f t="shared" si="41"/>
        <v>6.7874825746286588E-2</v>
      </c>
      <c r="AN12" s="8">
        <f>AN11/AN6</f>
        <v>0.25105149006027344</v>
      </c>
      <c r="AO12" s="8">
        <f t="shared" ref="AO12:AS12" si="45">AO11/AO6</f>
        <v>0.12828848956775149</v>
      </c>
      <c r="AP12" s="8">
        <f t="shared" si="45"/>
        <v>0.11343233261833215</v>
      </c>
      <c r="AQ12" s="8">
        <f t="shared" si="45"/>
        <v>7.3219893438227074E-2</v>
      </c>
      <c r="AR12" s="8" t="e">
        <f t="shared" si="45"/>
        <v>#VALUE!</v>
      </c>
      <c r="AS12" s="8">
        <f t="shared" si="45"/>
        <v>1.3101966666666668E-2</v>
      </c>
      <c r="AT12" s="8" t="e">
        <f>AT11/AT6</f>
        <v>#DIV/0!</v>
      </c>
      <c r="AU12" s="8" t="e">
        <f>AU11/AU6</f>
        <v>#DIV/0!</v>
      </c>
      <c r="AV12" s="8" t="e">
        <f t="shared" si="41"/>
        <v>#DIV/0!</v>
      </c>
      <c r="AW12" s="8" t="e">
        <f t="shared" si="41"/>
        <v>#DIV/0!</v>
      </c>
    </row>
    <row r="13" spans="1:49" s="6" customFormat="1" x14ac:dyDescent="0.25">
      <c r="A13" s="29" t="s">
        <v>6</v>
      </c>
      <c r="B13" s="82">
        <f>B6-B7-B9-B11</f>
        <v>243707.74000000008</v>
      </c>
      <c r="C13" s="82">
        <f t="shared" ref="C13:AC13" si="46">C6-C7-C9-C11</f>
        <v>132.84999999999854</v>
      </c>
      <c r="D13" s="82">
        <f t="shared" si="46"/>
        <v>109368.51000000017</v>
      </c>
      <c r="E13" s="82">
        <f t="shared" si="46"/>
        <v>444466.2900000001</v>
      </c>
      <c r="F13" s="82">
        <f t="shared" ref="F13" si="47">F6-F7-F9-F11</f>
        <v>20882.100000000002</v>
      </c>
      <c r="G13" s="82">
        <f>G6-G7-G9-G11</f>
        <v>161776.97000000003</v>
      </c>
      <c r="H13" s="82">
        <f t="shared" si="46"/>
        <v>438.69999999999959</v>
      </c>
      <c r="I13" s="82">
        <f t="shared" si="46"/>
        <v>2618.0399999999981</v>
      </c>
      <c r="J13" s="82">
        <f t="shared" ref="J13" si="48">J6-J7-J9-J11</f>
        <v>0</v>
      </c>
      <c r="K13" s="82">
        <f t="shared" si="46"/>
        <v>35516.100000000006</v>
      </c>
      <c r="L13" s="63">
        <f t="shared" si="46"/>
        <v>0</v>
      </c>
      <c r="M13" s="82">
        <f t="shared" si="46"/>
        <v>329.58000000000538</v>
      </c>
      <c r="N13" s="82">
        <f t="shared" si="46"/>
        <v>5026.3099999999986</v>
      </c>
      <c r="O13" s="63">
        <f t="shared" si="46"/>
        <v>0</v>
      </c>
      <c r="P13" s="63">
        <f t="shared" si="46"/>
        <v>0</v>
      </c>
      <c r="Q13" s="84">
        <f t="shared" si="46"/>
        <v>0</v>
      </c>
      <c r="R13" s="82">
        <f t="shared" si="46"/>
        <v>4992.2000000000116</v>
      </c>
      <c r="S13" s="82">
        <f t="shared" si="46"/>
        <v>398.56000000000404</v>
      </c>
      <c r="T13" s="82">
        <f t="shared" ref="T13:U13" si="49">T6-T7-T9-T11</f>
        <v>310.79000000000042</v>
      </c>
      <c r="U13" s="82">
        <f t="shared" si="49"/>
        <v>3123.4100000000003</v>
      </c>
      <c r="V13" s="82">
        <f t="shared" si="46"/>
        <v>9551.32</v>
      </c>
      <c r="W13" s="82">
        <f t="shared" si="46"/>
        <v>4282.26</v>
      </c>
      <c r="X13" s="82">
        <f t="shared" si="46"/>
        <v>514.71000000000026</v>
      </c>
      <c r="Y13" s="82">
        <f t="shared" ref="Y13:AB13" si="50">Y6-Y7-Y9-Y11</f>
        <v>14.959999999999809</v>
      </c>
      <c r="Z13" s="82">
        <f t="shared" ref="Z13:AA13" si="51">Z6-Z7-Z9-Z11</f>
        <v>-1.1641532182693481E-10</v>
      </c>
      <c r="AA13" s="82">
        <f t="shared" si="51"/>
        <v>0</v>
      </c>
      <c r="AB13" s="82">
        <f t="shared" si="50"/>
        <v>27172.37</v>
      </c>
      <c r="AC13" s="82">
        <f t="shared" si="46"/>
        <v>2.6200000000002603</v>
      </c>
      <c r="AD13" s="36">
        <f t="shared" ref="AD13:AW13" si="52">AD6-AD7-AD9-AD11</f>
        <v>0</v>
      </c>
      <c r="AE13" s="36">
        <f t="shared" si="52"/>
        <v>-18225.439999999995</v>
      </c>
      <c r="AF13" s="36">
        <f t="shared" si="52"/>
        <v>0</v>
      </c>
      <c r="AG13" s="36">
        <f t="shared" ref="AG13" si="53">AG6-AG7-AG9-AG11</f>
        <v>15769</v>
      </c>
      <c r="AH13" s="36">
        <f t="shared" ref="AH13" si="54">AH6-AH7-AH9-AH11</f>
        <v>659.13000000000466</v>
      </c>
      <c r="AI13" s="36">
        <f>AI6-AI7-AI9-AI11</f>
        <v>61420</v>
      </c>
      <c r="AJ13" s="36">
        <f t="shared" ref="AJ13" si="55">AJ6-AJ7-AJ9-AJ11</f>
        <v>0</v>
      </c>
      <c r="AK13" s="36">
        <f t="shared" ref="AK13" si="56">AK6-AK7-AK9-AK11</f>
        <v>0</v>
      </c>
      <c r="AL13" s="42">
        <f>AL6-AL7-AL9-AL11</f>
        <v>0</v>
      </c>
      <c r="AM13" s="42">
        <f t="shared" si="52"/>
        <v>689</v>
      </c>
      <c r="AN13" s="36">
        <f t="shared" si="52"/>
        <v>-8995</v>
      </c>
      <c r="AO13" s="36">
        <v>25424.48</v>
      </c>
      <c r="AP13" s="36">
        <v>15808.26</v>
      </c>
      <c r="AQ13" s="36">
        <v>675072.77</v>
      </c>
      <c r="AR13" s="36">
        <v>0</v>
      </c>
      <c r="AS13" s="36">
        <v>111804</v>
      </c>
      <c r="AT13" s="36">
        <f t="shared" si="52"/>
        <v>0</v>
      </c>
      <c r="AU13" s="36">
        <f t="shared" ref="AU13" si="57">AU6-AU7-AU9-AU11</f>
        <v>0</v>
      </c>
      <c r="AV13" s="36">
        <f t="shared" si="52"/>
        <v>0</v>
      </c>
      <c r="AW13" s="36">
        <f t="shared" si="52"/>
        <v>0</v>
      </c>
    </row>
    <row r="14" spans="1:49" s="7" customFormat="1" ht="195.75" customHeight="1" x14ac:dyDescent="0.25">
      <c r="A14" s="5" t="s">
        <v>7</v>
      </c>
      <c r="B14" s="86" t="s">
        <v>118</v>
      </c>
      <c r="C14" s="90"/>
      <c r="D14" s="86" t="s">
        <v>116</v>
      </c>
      <c r="E14" s="86" t="s">
        <v>117</v>
      </c>
      <c r="F14" s="86" t="s">
        <v>114</v>
      </c>
      <c r="G14" s="86" t="s">
        <v>115</v>
      </c>
      <c r="H14" s="86"/>
      <c r="I14" s="86"/>
      <c r="J14" s="90"/>
      <c r="K14" s="86" t="s">
        <v>113</v>
      </c>
      <c r="L14" s="90"/>
      <c r="M14" s="90"/>
      <c r="N14" s="86"/>
      <c r="O14" s="90"/>
      <c r="P14" s="86" t="s">
        <v>85</v>
      </c>
      <c r="Q14" s="86"/>
      <c r="R14" s="86" t="s">
        <v>121</v>
      </c>
      <c r="S14" s="86"/>
      <c r="T14" s="86"/>
      <c r="U14" s="86" t="s">
        <v>112</v>
      </c>
      <c r="V14" s="86"/>
      <c r="W14" s="86" t="s">
        <v>112</v>
      </c>
      <c r="X14" s="86"/>
      <c r="Y14" s="86" t="s">
        <v>112</v>
      </c>
      <c r="Z14" s="86"/>
      <c r="AA14" s="86"/>
      <c r="AB14" s="86" t="s">
        <v>122</v>
      </c>
      <c r="AC14" s="86"/>
      <c r="AD14" s="9"/>
      <c r="AE14" s="9"/>
      <c r="AG14" s="38" t="s">
        <v>102</v>
      </c>
      <c r="AH14" s="38" t="s">
        <v>103</v>
      </c>
      <c r="AI14" s="37" t="s">
        <v>82</v>
      </c>
      <c r="AJ14" s="37" t="s">
        <v>82</v>
      </c>
      <c r="AK14" s="37"/>
      <c r="AL14" s="37" t="s">
        <v>82</v>
      </c>
      <c r="AM14" s="38" t="s">
        <v>83</v>
      </c>
      <c r="AO14" s="37" t="s">
        <v>77</v>
      </c>
      <c r="AP14" s="37" t="s">
        <v>77</v>
      </c>
      <c r="AQ14" s="37" t="s">
        <v>77</v>
      </c>
      <c r="AR14" s="37" t="s">
        <v>77</v>
      </c>
      <c r="AS14" s="37" t="s">
        <v>77</v>
      </c>
      <c r="AT14" s="37"/>
      <c r="AU14" s="37"/>
      <c r="AV14" s="37"/>
      <c r="AW14" s="37"/>
    </row>
    <row r="15" spans="1:49" x14ac:dyDescent="0.25">
      <c r="A15" s="69"/>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row>
    <row r="16" spans="1:49" s="7" customFormat="1" ht="164.25" customHeight="1" x14ac:dyDescent="0.25">
      <c r="A16" s="70" t="s">
        <v>27</v>
      </c>
      <c r="B16" s="92" t="s">
        <v>88</v>
      </c>
      <c r="C16" s="92" t="s">
        <v>48</v>
      </c>
      <c r="D16" s="92" t="s">
        <v>49</v>
      </c>
      <c r="E16" s="92" t="s">
        <v>50</v>
      </c>
      <c r="F16" s="92" t="s">
        <v>124</v>
      </c>
      <c r="G16" s="92" t="s">
        <v>127</v>
      </c>
      <c r="H16" s="92" t="s">
        <v>52</v>
      </c>
      <c r="I16" s="92" t="s">
        <v>60</v>
      </c>
      <c r="J16" s="92" t="s">
        <v>51</v>
      </c>
      <c r="K16" s="92" t="s">
        <v>51</v>
      </c>
      <c r="L16" s="92"/>
      <c r="M16" s="92" t="s">
        <v>53</v>
      </c>
      <c r="N16" s="92" t="s">
        <v>54</v>
      </c>
      <c r="O16" s="92"/>
      <c r="P16" s="92" t="s">
        <v>22</v>
      </c>
      <c r="Q16" s="92" t="s">
        <v>48</v>
      </c>
      <c r="R16" s="92" t="s">
        <v>87</v>
      </c>
      <c r="S16" s="92" t="s">
        <v>25</v>
      </c>
      <c r="T16" s="92" t="s">
        <v>25</v>
      </c>
      <c r="U16" s="92" t="s">
        <v>25</v>
      </c>
      <c r="V16" s="92" t="s">
        <v>55</v>
      </c>
      <c r="W16" s="92" t="s">
        <v>55</v>
      </c>
      <c r="X16" s="92" t="s">
        <v>54</v>
      </c>
      <c r="Y16" s="92" t="s">
        <v>54</v>
      </c>
      <c r="Z16" s="92" t="s">
        <v>123</v>
      </c>
      <c r="AA16" s="92"/>
      <c r="AB16" s="92" t="s">
        <v>126</v>
      </c>
      <c r="AC16" s="92" t="s">
        <v>125</v>
      </c>
      <c r="AD16" s="38" t="s">
        <v>67</v>
      </c>
      <c r="AE16" s="38" t="s">
        <v>67</v>
      </c>
      <c r="AF16" s="38" t="s">
        <v>67</v>
      </c>
      <c r="AG16" s="38" t="s">
        <v>67</v>
      </c>
      <c r="AH16" s="38" t="s">
        <v>67</v>
      </c>
      <c r="AI16" s="38" t="s">
        <v>137</v>
      </c>
      <c r="AJ16" s="38" t="s">
        <v>96</v>
      </c>
      <c r="AK16" s="38" t="s">
        <v>78</v>
      </c>
      <c r="AL16" s="38" t="s">
        <v>101</v>
      </c>
      <c r="AM16" s="38" t="s">
        <v>79</v>
      </c>
      <c r="AN16" s="38" t="s">
        <v>95</v>
      </c>
      <c r="AO16" s="44" t="s">
        <v>73</v>
      </c>
      <c r="AP16" s="44" t="s">
        <v>74</v>
      </c>
      <c r="AQ16" s="44" t="s">
        <v>73</v>
      </c>
      <c r="AR16" s="44" t="s">
        <v>73</v>
      </c>
      <c r="AS16" s="61" t="s">
        <v>73</v>
      </c>
      <c r="AT16" s="44"/>
      <c r="AU16" s="58"/>
      <c r="AV16" s="44"/>
      <c r="AW16" s="44"/>
    </row>
    <row r="17" spans="1:49" s="11" customFormat="1" x14ac:dyDescent="0.25">
      <c r="A17" s="71"/>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O17" s="2"/>
      <c r="AP17" s="2"/>
      <c r="AQ17" s="2"/>
      <c r="AR17" s="2"/>
      <c r="AS17" s="2"/>
      <c r="AT17" s="2"/>
      <c r="AU17" s="2"/>
      <c r="AV17" s="2"/>
      <c r="AW17" s="2"/>
    </row>
    <row r="18" spans="1:49" s="7" customFormat="1" ht="123.6" customHeight="1" x14ac:dyDescent="0.25">
      <c r="A18" s="99" t="s">
        <v>42</v>
      </c>
      <c r="B18" s="86" t="s">
        <v>89</v>
      </c>
      <c r="C18" s="74"/>
      <c r="D18" s="74"/>
      <c r="E18" s="86" t="s">
        <v>90</v>
      </c>
      <c r="F18" s="74"/>
      <c r="G18" s="74"/>
      <c r="H18" s="74"/>
      <c r="I18" s="74"/>
      <c r="J18" s="74"/>
      <c r="K18" s="74"/>
      <c r="L18" s="74"/>
      <c r="M18" s="74"/>
      <c r="N18" s="74"/>
      <c r="O18" s="74"/>
      <c r="P18" s="74"/>
      <c r="Q18" s="74"/>
      <c r="R18" s="86" t="s">
        <v>86</v>
      </c>
      <c r="S18" s="74"/>
      <c r="T18" s="74"/>
      <c r="U18" s="74"/>
      <c r="V18" s="74"/>
      <c r="W18" s="74"/>
      <c r="X18" s="74"/>
      <c r="Y18" s="74"/>
      <c r="Z18" s="74"/>
      <c r="AA18" s="74"/>
      <c r="AB18" s="74"/>
      <c r="AC18" s="74"/>
      <c r="AD18" s="37"/>
      <c r="AE18" s="37"/>
      <c r="AF18" s="37"/>
      <c r="AG18" s="37"/>
      <c r="AH18" s="37"/>
      <c r="AI18" s="37"/>
      <c r="AJ18" s="37"/>
      <c r="AK18" s="37"/>
      <c r="AL18" s="37"/>
      <c r="AO18" s="44" t="s">
        <v>92</v>
      </c>
      <c r="AP18" s="44" t="s">
        <v>92</v>
      </c>
      <c r="AQ18" s="44" t="s">
        <v>92</v>
      </c>
      <c r="AR18" s="44" t="str">
        <f>IF(ISBLANK([1]Overall!BS18),"", [1]Overall!BS18)</f>
        <v/>
      </c>
      <c r="AS18" s="61"/>
      <c r="AT18" s="44"/>
      <c r="AU18" s="58"/>
      <c r="AV18" s="44"/>
      <c r="AW18" s="44"/>
    </row>
    <row r="19" spans="1:49" s="7" customFormat="1" x14ac:dyDescent="0.25">
      <c r="A19" s="99"/>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37"/>
      <c r="AE19" s="37"/>
      <c r="AF19" s="37"/>
      <c r="AG19" s="37"/>
      <c r="AH19" s="37"/>
      <c r="AI19" s="37"/>
      <c r="AJ19" s="37"/>
      <c r="AK19" s="37"/>
      <c r="AL19" s="37"/>
      <c r="AO19" s="44" t="s">
        <v>75</v>
      </c>
      <c r="AP19" s="44" t="s">
        <v>75</v>
      </c>
      <c r="AQ19" s="44" t="s">
        <v>75</v>
      </c>
      <c r="AR19" s="44" t="s">
        <v>75</v>
      </c>
      <c r="AS19" s="61" t="s">
        <v>75</v>
      </c>
      <c r="AT19" s="44" t="s">
        <v>76</v>
      </c>
      <c r="AU19" s="58" t="s">
        <v>76</v>
      </c>
      <c r="AV19" s="44" t="s">
        <v>76</v>
      </c>
      <c r="AW19" s="44" t="s">
        <v>76</v>
      </c>
    </row>
    <row r="20" spans="1:49" s="7" customFormat="1" x14ac:dyDescent="0.25">
      <c r="A20" s="99"/>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37"/>
      <c r="AE20" s="37"/>
      <c r="AF20" s="37"/>
      <c r="AG20" s="37"/>
      <c r="AH20" s="37"/>
      <c r="AI20" s="37"/>
      <c r="AJ20" s="37"/>
      <c r="AK20" s="37"/>
      <c r="AL20" s="37"/>
      <c r="AO20" s="44"/>
      <c r="AP20" s="44"/>
      <c r="AQ20" s="44"/>
      <c r="AR20" s="44"/>
      <c r="AS20" s="61"/>
      <c r="AT20" s="44"/>
      <c r="AU20" s="58"/>
      <c r="AV20" s="44"/>
      <c r="AW20" s="44"/>
    </row>
    <row r="21" spans="1:49" s="7" customFormat="1" x14ac:dyDescent="0.25">
      <c r="A21" s="99"/>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37"/>
      <c r="AE21" s="37"/>
      <c r="AF21" s="37"/>
      <c r="AG21" s="37"/>
      <c r="AH21" s="37"/>
      <c r="AI21" s="37"/>
      <c r="AJ21" s="37"/>
      <c r="AK21" s="37"/>
      <c r="AL21" s="37"/>
      <c r="AO21" s="44"/>
      <c r="AP21" s="44"/>
      <c r="AQ21" s="44"/>
      <c r="AR21" s="44"/>
      <c r="AS21" s="61"/>
      <c r="AT21" s="44"/>
      <c r="AU21" s="58"/>
      <c r="AV21" s="44"/>
      <c r="AW21" s="44"/>
    </row>
    <row r="22" spans="1:49" s="7" customFormat="1" x14ac:dyDescent="0.25">
      <c r="A22" s="99"/>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37"/>
      <c r="AE22" s="37"/>
      <c r="AF22" s="37"/>
      <c r="AG22" s="37"/>
      <c r="AH22" s="37"/>
      <c r="AI22" s="37"/>
      <c r="AJ22" s="37"/>
      <c r="AK22" s="37"/>
      <c r="AL22" s="37"/>
      <c r="AO22" s="44"/>
      <c r="AP22" s="44"/>
      <c r="AQ22" s="44"/>
      <c r="AR22" s="44"/>
      <c r="AS22" s="61"/>
      <c r="AT22" s="44"/>
      <c r="AU22" s="58"/>
      <c r="AV22" s="44"/>
      <c r="AW22" s="44"/>
    </row>
    <row r="23" spans="1:49" s="11" customFormat="1" x14ac:dyDescent="0.25">
      <c r="A23" s="72"/>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O23" s="34"/>
      <c r="AP23" s="34"/>
      <c r="AQ23" s="34"/>
      <c r="AR23" s="34"/>
      <c r="AS23" s="34"/>
      <c r="AT23" s="34"/>
      <c r="AU23" s="34"/>
      <c r="AV23" s="34"/>
      <c r="AW23" s="34"/>
    </row>
    <row r="24" spans="1:49" s="7" customFormat="1" x14ac:dyDescent="0.25">
      <c r="A24" s="73" t="s">
        <v>43</v>
      </c>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37"/>
      <c r="AE24" s="37"/>
      <c r="AF24" s="37"/>
      <c r="AG24" s="37"/>
      <c r="AH24" s="37"/>
      <c r="AI24" s="37"/>
      <c r="AJ24" s="37"/>
      <c r="AK24" s="37"/>
      <c r="AL24" s="37"/>
      <c r="AO24" s="44" t="s">
        <v>75</v>
      </c>
      <c r="AP24" s="44" t="s">
        <v>75</v>
      </c>
      <c r="AQ24" s="44" t="s">
        <v>75</v>
      </c>
      <c r="AR24" s="44" t="s">
        <v>75</v>
      </c>
      <c r="AS24" s="61" t="s">
        <v>75</v>
      </c>
      <c r="AT24" s="44" t="s">
        <v>76</v>
      </c>
      <c r="AU24" s="58" t="s">
        <v>76</v>
      </c>
      <c r="AV24" s="44" t="s">
        <v>76</v>
      </c>
      <c r="AW24" s="44" t="s">
        <v>76</v>
      </c>
    </row>
    <row r="25" spans="1:49" s="11" customFormat="1" x14ac:dyDescent="0.25">
      <c r="A25" s="72"/>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O25" s="2"/>
      <c r="AP25" s="2"/>
      <c r="AQ25" s="2"/>
      <c r="AR25" s="2"/>
      <c r="AS25" s="2"/>
      <c r="AT25" s="2"/>
      <c r="AU25" s="2"/>
      <c r="AV25" s="2"/>
      <c r="AW25" s="2"/>
    </row>
    <row r="26" spans="1:49" s="7" customFormat="1" ht="14.1" customHeight="1" x14ac:dyDescent="0.25">
      <c r="A26" s="99" t="s">
        <v>44</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37"/>
      <c r="AE26" s="37"/>
      <c r="AF26" s="37"/>
      <c r="AG26" s="37"/>
      <c r="AH26" s="37"/>
      <c r="AI26" s="37"/>
      <c r="AJ26" s="37"/>
      <c r="AK26" s="37"/>
      <c r="AL26" s="37"/>
      <c r="AO26" s="104" t="s">
        <v>132</v>
      </c>
      <c r="AP26" s="104" t="s">
        <v>130</v>
      </c>
      <c r="AQ26" s="104" t="s">
        <v>134</v>
      </c>
      <c r="AR26" s="104"/>
      <c r="AS26" s="104" t="s">
        <v>128</v>
      </c>
      <c r="AT26" s="47"/>
      <c r="AU26" s="47"/>
      <c r="AV26" s="47"/>
      <c r="AW26" s="47"/>
    </row>
    <row r="27" spans="1:49" s="7" customFormat="1" x14ac:dyDescent="0.25">
      <c r="A27" s="99"/>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37"/>
      <c r="AE27" s="37"/>
      <c r="AF27" s="37"/>
      <c r="AG27" s="37"/>
      <c r="AH27" s="37"/>
      <c r="AI27" s="37"/>
      <c r="AJ27" s="37"/>
      <c r="AK27" s="37"/>
      <c r="AL27" s="37"/>
      <c r="AO27" s="105"/>
      <c r="AP27" s="105"/>
      <c r="AQ27" s="105"/>
      <c r="AR27" s="105"/>
      <c r="AS27" s="105"/>
      <c r="AT27" s="47"/>
      <c r="AU27" s="47"/>
      <c r="AV27" s="47"/>
      <c r="AW27" s="47"/>
    </row>
    <row r="28" spans="1:49" s="7" customFormat="1" ht="15" customHeight="1" x14ac:dyDescent="0.25">
      <c r="A28" s="99"/>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37"/>
      <c r="AE28" s="37"/>
      <c r="AF28" s="37"/>
      <c r="AG28" s="37"/>
      <c r="AH28" s="37"/>
      <c r="AI28" s="37"/>
      <c r="AJ28" s="37"/>
      <c r="AK28" s="37"/>
      <c r="AL28" s="37"/>
      <c r="AO28" s="105"/>
      <c r="AP28" s="105"/>
      <c r="AQ28" s="105"/>
      <c r="AR28" s="105"/>
      <c r="AS28" s="105"/>
      <c r="AT28" s="47"/>
      <c r="AU28" s="47"/>
      <c r="AV28" s="47"/>
      <c r="AW28" s="47"/>
    </row>
    <row r="29" spans="1:49" s="7" customFormat="1" x14ac:dyDescent="0.25">
      <c r="A29" s="99"/>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37"/>
      <c r="AE29" s="37"/>
      <c r="AF29" s="37"/>
      <c r="AG29" s="37"/>
      <c r="AH29" s="37"/>
      <c r="AI29" s="37"/>
      <c r="AJ29" s="37"/>
      <c r="AK29" s="37"/>
      <c r="AL29" s="37"/>
      <c r="AO29" s="105"/>
      <c r="AP29" s="105"/>
      <c r="AQ29" s="105"/>
      <c r="AR29" s="105"/>
      <c r="AS29" s="105"/>
      <c r="AT29" s="47"/>
      <c r="AU29" s="47"/>
      <c r="AV29" s="47"/>
      <c r="AW29" s="47"/>
    </row>
    <row r="30" spans="1:49" s="7" customFormat="1" ht="15.75" customHeight="1" x14ac:dyDescent="0.25">
      <c r="A30" s="99"/>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37"/>
      <c r="AE30" s="37"/>
      <c r="AF30" s="37"/>
      <c r="AG30" s="37"/>
      <c r="AH30" s="37"/>
      <c r="AI30" s="37"/>
      <c r="AJ30" s="37"/>
      <c r="AK30" s="37"/>
      <c r="AL30" s="37"/>
      <c r="AO30" s="106"/>
      <c r="AP30" s="106"/>
      <c r="AQ30" s="106"/>
      <c r="AR30" s="106"/>
      <c r="AS30" s="106"/>
      <c r="AT30" s="47"/>
      <c r="AU30" s="47"/>
      <c r="AV30" s="47"/>
      <c r="AW30" s="47"/>
    </row>
    <row r="31" spans="1:49" s="11" customFormat="1" x14ac:dyDescent="0.25">
      <c r="A31" s="72"/>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O31" s="2"/>
      <c r="AP31" s="2"/>
      <c r="AQ31" s="2"/>
      <c r="AR31" s="2"/>
      <c r="AS31" s="2"/>
      <c r="AT31" s="2"/>
      <c r="AU31" s="2"/>
      <c r="AV31" s="2"/>
      <c r="AW31" s="2"/>
    </row>
    <row r="32" spans="1:49" s="7" customFormat="1" ht="15" customHeight="1" x14ac:dyDescent="0.25">
      <c r="A32" s="68" t="s">
        <v>8</v>
      </c>
      <c r="B32" s="74">
        <v>1242</v>
      </c>
      <c r="C32" s="94">
        <v>1778</v>
      </c>
      <c r="D32" s="74">
        <v>1323</v>
      </c>
      <c r="E32" s="74">
        <v>635</v>
      </c>
      <c r="F32" s="74">
        <v>452</v>
      </c>
      <c r="G32" s="74">
        <v>107</v>
      </c>
      <c r="H32" s="94">
        <v>1778</v>
      </c>
      <c r="I32" s="94">
        <v>1778</v>
      </c>
      <c r="J32" s="74">
        <v>1307</v>
      </c>
      <c r="K32" s="74">
        <v>1607</v>
      </c>
      <c r="L32" s="74"/>
      <c r="M32" s="74">
        <v>74</v>
      </c>
      <c r="N32" s="74">
        <v>3061</v>
      </c>
      <c r="O32" s="74"/>
      <c r="P32" s="74"/>
      <c r="Q32" s="94">
        <v>1778</v>
      </c>
      <c r="R32" s="74">
        <v>311</v>
      </c>
      <c r="S32" s="74">
        <v>174</v>
      </c>
      <c r="T32" s="74">
        <v>5</v>
      </c>
      <c r="U32" s="74">
        <v>9</v>
      </c>
      <c r="V32" s="74">
        <v>5</v>
      </c>
      <c r="W32" s="74">
        <v>9</v>
      </c>
      <c r="X32" s="74">
        <v>0</v>
      </c>
      <c r="Y32" s="74">
        <v>9</v>
      </c>
      <c r="Z32" s="74">
        <v>332</v>
      </c>
      <c r="AA32" s="74">
        <v>0</v>
      </c>
      <c r="AB32" s="74">
        <v>1500</v>
      </c>
      <c r="AC32" s="74"/>
      <c r="AD32" s="96" t="s">
        <v>68</v>
      </c>
      <c r="AE32" s="96" t="s">
        <v>68</v>
      </c>
      <c r="AF32" s="96" t="s">
        <v>97</v>
      </c>
      <c r="AG32" s="96" t="s">
        <v>68</v>
      </c>
      <c r="AH32" s="96" t="s">
        <v>68</v>
      </c>
      <c r="AI32" s="96" t="s">
        <v>68</v>
      </c>
      <c r="AJ32" s="96" t="s">
        <v>68</v>
      </c>
      <c r="AK32" s="96" t="s">
        <v>68</v>
      </c>
      <c r="AL32" s="96" t="s">
        <v>68</v>
      </c>
      <c r="AM32" s="96" t="s">
        <v>68</v>
      </c>
      <c r="AN32" s="96" t="s">
        <v>68</v>
      </c>
      <c r="AO32" s="44" t="s">
        <v>133</v>
      </c>
      <c r="AP32" s="44" t="s">
        <v>131</v>
      </c>
      <c r="AQ32" s="44" t="s">
        <v>135</v>
      </c>
      <c r="AR32" s="44" t="s">
        <v>91</v>
      </c>
      <c r="AS32" s="61" t="s">
        <v>129</v>
      </c>
      <c r="AT32" s="44"/>
      <c r="AU32" s="58"/>
      <c r="AV32" s="44"/>
      <c r="AW32" s="44"/>
    </row>
    <row r="33" spans="1:49" s="49" customFormat="1" ht="15" customHeight="1" x14ac:dyDescent="0.25">
      <c r="A33" s="75" t="s">
        <v>9</v>
      </c>
      <c r="B33" s="74">
        <v>1242</v>
      </c>
      <c r="C33" s="74">
        <v>462</v>
      </c>
      <c r="D33" s="74">
        <v>1323</v>
      </c>
      <c r="E33" s="74">
        <v>635</v>
      </c>
      <c r="F33" s="74">
        <v>452</v>
      </c>
      <c r="G33" s="74">
        <v>107</v>
      </c>
      <c r="H33" s="74">
        <v>462</v>
      </c>
      <c r="I33" s="74">
        <v>462</v>
      </c>
      <c r="J33" s="74">
        <v>1307</v>
      </c>
      <c r="K33" s="74">
        <v>1607</v>
      </c>
      <c r="L33" s="74"/>
      <c r="M33" s="74">
        <v>74</v>
      </c>
      <c r="N33" s="74">
        <v>3061</v>
      </c>
      <c r="O33" s="74"/>
      <c r="P33" s="74"/>
      <c r="Q33" s="74">
        <v>462</v>
      </c>
      <c r="R33" s="74">
        <v>311</v>
      </c>
      <c r="S33" s="74">
        <v>174</v>
      </c>
      <c r="T33" s="74">
        <v>5</v>
      </c>
      <c r="U33" s="74">
        <v>9</v>
      </c>
      <c r="V33" s="74">
        <v>5</v>
      </c>
      <c r="W33" s="74">
        <v>9</v>
      </c>
      <c r="X33" s="74">
        <v>0</v>
      </c>
      <c r="Y33" s="74">
        <v>9</v>
      </c>
      <c r="Z33" s="74">
        <v>332</v>
      </c>
      <c r="AA33" s="74">
        <v>0</v>
      </c>
      <c r="AB33" s="74">
        <v>1500</v>
      </c>
      <c r="AC33" s="74"/>
      <c r="AD33" s="97"/>
      <c r="AE33" s="97"/>
      <c r="AF33" s="97"/>
      <c r="AG33" s="97"/>
      <c r="AH33" s="97"/>
      <c r="AI33" s="97"/>
      <c r="AJ33" s="97"/>
      <c r="AK33" s="97"/>
      <c r="AL33" s="97"/>
      <c r="AM33" s="97"/>
      <c r="AN33" s="97"/>
      <c r="AO33" s="52" t="s">
        <v>133</v>
      </c>
      <c r="AP33" s="52" t="s">
        <v>131</v>
      </c>
      <c r="AQ33" s="52" t="s">
        <v>135</v>
      </c>
      <c r="AR33" s="52" t="s">
        <v>91</v>
      </c>
      <c r="AS33" s="59" t="s">
        <v>129</v>
      </c>
      <c r="AT33" s="52"/>
      <c r="AU33" s="56"/>
      <c r="AV33" s="52"/>
      <c r="AW33" s="52"/>
    </row>
    <row r="34" spans="1:49" s="53" customFormat="1" ht="27.2" customHeight="1" x14ac:dyDescent="0.25">
      <c r="A34" s="76" t="s">
        <v>80</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97"/>
      <c r="AE34" s="97"/>
      <c r="AF34" s="97"/>
      <c r="AG34" s="97"/>
      <c r="AH34" s="97"/>
      <c r="AI34" s="97"/>
      <c r="AJ34" s="97"/>
      <c r="AK34" s="97"/>
      <c r="AL34" s="97"/>
      <c r="AM34" s="97"/>
      <c r="AN34" s="97"/>
      <c r="AO34" s="48"/>
      <c r="AP34" s="48"/>
      <c r="AQ34" s="48"/>
      <c r="AR34" s="48"/>
      <c r="AS34" s="61"/>
      <c r="AT34" s="54"/>
      <c r="AU34" s="54"/>
      <c r="AV34" s="54"/>
      <c r="AW34" s="54"/>
    </row>
    <row r="35" spans="1:49" s="50" customFormat="1" ht="16.5" customHeight="1" x14ac:dyDescent="0.25">
      <c r="A35" s="77" t="s">
        <v>10</v>
      </c>
      <c r="B35" s="95">
        <v>59</v>
      </c>
      <c r="C35" s="95"/>
      <c r="D35" s="95"/>
      <c r="E35" s="95">
        <v>93</v>
      </c>
      <c r="F35" s="95">
        <v>0</v>
      </c>
      <c r="G35" s="95">
        <v>0</v>
      </c>
      <c r="H35" s="95"/>
      <c r="I35" s="95"/>
      <c r="J35" s="95">
        <v>0</v>
      </c>
      <c r="K35" s="95">
        <v>0</v>
      </c>
      <c r="L35" s="95"/>
      <c r="M35" s="95">
        <v>0</v>
      </c>
      <c r="N35" s="95">
        <v>0</v>
      </c>
      <c r="O35" s="95"/>
      <c r="P35" s="95"/>
      <c r="Q35" s="95"/>
      <c r="R35" s="95">
        <v>62</v>
      </c>
      <c r="S35" s="95">
        <v>0</v>
      </c>
      <c r="T35" s="95">
        <v>0</v>
      </c>
      <c r="U35" s="95">
        <v>0</v>
      </c>
      <c r="V35" s="95">
        <v>0</v>
      </c>
      <c r="W35" s="95">
        <v>0</v>
      </c>
      <c r="X35" s="95"/>
      <c r="Y35" s="95">
        <v>0</v>
      </c>
      <c r="Z35" s="95">
        <v>0</v>
      </c>
      <c r="AA35" s="95">
        <v>0</v>
      </c>
      <c r="AB35" s="95"/>
      <c r="AC35" s="95"/>
      <c r="AD35" s="97"/>
      <c r="AE35" s="97"/>
      <c r="AF35" s="97"/>
      <c r="AG35" s="97"/>
      <c r="AH35" s="97"/>
      <c r="AI35" s="98"/>
      <c r="AJ35" s="98"/>
      <c r="AK35" s="98"/>
      <c r="AL35" s="98"/>
      <c r="AM35" s="98"/>
      <c r="AN35" s="98"/>
      <c r="AO35" s="51"/>
      <c r="AP35" s="51"/>
      <c r="AQ35" s="51"/>
      <c r="AR35" s="51"/>
      <c r="AS35" s="60"/>
      <c r="AT35" s="51"/>
      <c r="AU35" s="57"/>
      <c r="AV35" s="51"/>
      <c r="AW35" s="51"/>
    </row>
    <row r="36" spans="1:49" x14ac:dyDescent="0.25">
      <c r="AD36" s="46"/>
      <c r="AE36" s="46"/>
      <c r="AF36" s="46"/>
      <c r="AG36" s="46"/>
      <c r="AH36" s="46"/>
      <c r="AI36" s="10"/>
      <c r="AO36" s="2"/>
      <c r="AP36" s="2"/>
      <c r="AQ36" s="2"/>
      <c r="AR36" s="2"/>
      <c r="AS36" s="2"/>
      <c r="AT36" s="2"/>
      <c r="AU36" s="2"/>
      <c r="AV36" s="2"/>
      <c r="AW36" s="2"/>
    </row>
    <row r="37" spans="1:49" s="9" customFormat="1" ht="58.5" customHeight="1" x14ac:dyDescent="0.25">
      <c r="A37" s="9" t="s">
        <v>11</v>
      </c>
      <c r="B37" s="38" t="s">
        <v>58</v>
      </c>
      <c r="C37" s="38" t="s">
        <v>58</v>
      </c>
      <c r="D37" s="38" t="s">
        <v>58</v>
      </c>
      <c r="E37" s="38" t="s">
        <v>58</v>
      </c>
      <c r="F37" s="38" t="s">
        <v>58</v>
      </c>
      <c r="G37" s="38" t="s">
        <v>58</v>
      </c>
      <c r="H37" s="38" t="s">
        <v>58</v>
      </c>
      <c r="I37" s="38" t="s">
        <v>58</v>
      </c>
      <c r="J37" s="38" t="s">
        <v>58</v>
      </c>
      <c r="K37" s="38" t="s">
        <v>58</v>
      </c>
      <c r="L37" s="38" t="s">
        <v>58</v>
      </c>
      <c r="M37" s="38" t="s">
        <v>58</v>
      </c>
      <c r="N37" s="38" t="s">
        <v>58</v>
      </c>
      <c r="O37" s="38" t="s">
        <v>58</v>
      </c>
      <c r="P37" s="38" t="s">
        <v>58</v>
      </c>
      <c r="Q37" s="38" t="s">
        <v>58</v>
      </c>
      <c r="R37" s="38" t="s">
        <v>58</v>
      </c>
      <c r="S37" s="38" t="s">
        <v>58</v>
      </c>
      <c r="T37" s="38" t="s">
        <v>58</v>
      </c>
      <c r="U37" s="38" t="s">
        <v>58</v>
      </c>
      <c r="V37" s="38" t="s">
        <v>58</v>
      </c>
      <c r="W37" s="38" t="s">
        <v>58</v>
      </c>
      <c r="X37" s="38" t="s">
        <v>58</v>
      </c>
      <c r="Y37" s="38" t="s">
        <v>58</v>
      </c>
      <c r="Z37" s="38" t="s">
        <v>58</v>
      </c>
      <c r="AA37" s="38" t="s">
        <v>58</v>
      </c>
      <c r="AB37" s="38" t="s">
        <v>58</v>
      </c>
      <c r="AC37" s="38" t="s">
        <v>58</v>
      </c>
      <c r="AD37" s="45" t="s">
        <v>58</v>
      </c>
      <c r="AE37" s="45" t="s">
        <v>58</v>
      </c>
      <c r="AF37" s="45" t="s">
        <v>58</v>
      </c>
      <c r="AG37" s="45" t="s">
        <v>58</v>
      </c>
      <c r="AH37" s="45" t="s">
        <v>58</v>
      </c>
      <c r="AI37" s="38" t="s">
        <v>138</v>
      </c>
      <c r="AJ37" s="38" t="s">
        <v>58</v>
      </c>
      <c r="AK37" s="38" t="s">
        <v>58</v>
      </c>
      <c r="AL37" s="38" t="s">
        <v>58</v>
      </c>
      <c r="AM37" s="38" t="s">
        <v>58</v>
      </c>
      <c r="AN37" s="38" t="s">
        <v>58</v>
      </c>
      <c r="AO37" s="44" t="s">
        <v>58</v>
      </c>
      <c r="AP37" s="44" t="s">
        <v>58</v>
      </c>
      <c r="AQ37" s="44" t="s">
        <v>58</v>
      </c>
      <c r="AR37" s="44" t="s">
        <v>58</v>
      </c>
      <c r="AS37" s="61" t="s">
        <v>58</v>
      </c>
      <c r="AT37" s="44"/>
      <c r="AU37" s="58"/>
      <c r="AV37" s="44"/>
      <c r="AW37" s="44"/>
    </row>
  </sheetData>
  <mergeCells count="21">
    <mergeCell ref="AR26:AR30"/>
    <mergeCell ref="AO2:AW2"/>
    <mergeCell ref="AK32:AK35"/>
    <mergeCell ref="AO26:AO30"/>
    <mergeCell ref="AP26:AP30"/>
    <mergeCell ref="AQ26:AQ30"/>
    <mergeCell ref="AS26:AS30"/>
    <mergeCell ref="AJ32:AJ35"/>
    <mergeCell ref="A18:A22"/>
    <mergeCell ref="B2:AC2"/>
    <mergeCell ref="AD32:AD35"/>
    <mergeCell ref="AE32:AE35"/>
    <mergeCell ref="AF32:AF35"/>
    <mergeCell ref="A26:A30"/>
    <mergeCell ref="AD2:AN2"/>
    <mergeCell ref="AN32:AN35"/>
    <mergeCell ref="AM32:AM35"/>
    <mergeCell ref="AI32:AI35"/>
    <mergeCell ref="AH32:AH35"/>
    <mergeCell ref="AG32:AG35"/>
    <mergeCell ref="AL32:AL35"/>
  </mergeCells>
  <pageMargins left="0.25" right="0.25" top="0.75" bottom="0.5" header="0.3" footer="0.3"/>
  <pageSetup paperSize="5" scale="50" orientation="landscape" r:id="rId1"/>
  <headerFooter>
    <oddHeader xml:space="preserve">&amp;CLake Cumberland Area Development District
FY 2024 
KRS 147a.115 Report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Y28"/>
  <sheetViews>
    <sheetView zoomScale="80" zoomScaleNormal="80" workbookViewId="0">
      <pane xSplit="1" ySplit="3" topLeftCell="B4" activePane="bottomRight" state="frozen"/>
      <selection activeCell="C12" sqref="C12"/>
      <selection pane="topRight" activeCell="C12" sqref="C12"/>
      <selection pane="bottomLeft" activeCell="C12" sqref="C12"/>
      <selection pane="bottomRight" activeCell="C16" sqref="C16"/>
    </sheetView>
  </sheetViews>
  <sheetFormatPr defaultColWidth="8.85546875" defaultRowHeight="15" x14ac:dyDescent="0.25"/>
  <cols>
    <col min="1" max="1" width="29.5703125" style="1" customWidth="1"/>
    <col min="2" max="2" width="20.5703125" customWidth="1"/>
    <col min="3" max="6" width="25.5703125" customWidth="1"/>
    <col min="7" max="7" width="31" customWidth="1"/>
    <col min="8" max="11" width="25.5703125" customWidth="1"/>
    <col min="12" max="12" width="25.5703125" hidden="1" customWidth="1"/>
    <col min="13" max="13" width="25.5703125" customWidth="1"/>
    <col min="14" max="14" width="19.5703125" customWidth="1"/>
    <col min="15" max="15" width="25.5703125" hidden="1" customWidth="1"/>
    <col min="16" max="16" width="15.5703125" customWidth="1"/>
    <col min="17" max="17" width="16.5703125" customWidth="1"/>
    <col min="18" max="18" width="21.5703125" customWidth="1"/>
    <col min="19" max="19" width="17.5703125" customWidth="1"/>
    <col min="20" max="25" width="25.5703125" customWidth="1"/>
  </cols>
  <sheetData>
    <row r="3" spans="1:25" s="34" customFormat="1" ht="45" x14ac:dyDescent="0.25">
      <c r="A3" s="3"/>
      <c r="B3" s="3" t="str">
        <f>Overall!B3</f>
        <v>Title III B</v>
      </c>
      <c r="C3" s="3" t="str">
        <f>Overall!C3</f>
        <v>Title III B Omb</v>
      </c>
      <c r="D3" s="3" t="str">
        <f>Overall!D3</f>
        <v>Title III C1</v>
      </c>
      <c r="E3" s="3" t="str">
        <f>Overall!E3</f>
        <v>Title III C2</v>
      </c>
      <c r="F3" s="35" t="str">
        <f>Overall!F3</f>
        <v>Title III D</v>
      </c>
      <c r="G3" s="3" t="str">
        <f>Overall!G3</f>
        <v>Title III E</v>
      </c>
      <c r="H3" s="3" t="str">
        <f>Overall!H3</f>
        <v>Title VII Elder Abuse</v>
      </c>
      <c r="I3" s="3" t="str">
        <f>Overall!I3</f>
        <v>Title VII Ombudsman</v>
      </c>
      <c r="J3" s="39" t="str">
        <f>Overall!J3</f>
        <v>NSIP 7/01/23 to 9/30/23</v>
      </c>
      <c r="K3" s="3" t="str">
        <f>Overall!K3</f>
        <v>NSIP 10/1/23 to 9/30/24</v>
      </c>
      <c r="L3" s="3" t="str">
        <f>Overall!L3</f>
        <v>CDSME</v>
      </c>
      <c r="M3" s="3" t="str">
        <f>Overall!M3</f>
        <v>Ky Caregiver</v>
      </c>
      <c r="N3" s="3" t="str">
        <f>Overall!N3</f>
        <v>Disability Resource Center</v>
      </c>
      <c r="O3" s="3" t="str">
        <f>Overall!O3</f>
        <v>Arthritis Grant</v>
      </c>
      <c r="P3" s="3" t="str">
        <f>Overall!P3</f>
        <v>FAST</v>
      </c>
      <c r="Q3" s="3" t="str">
        <f>Overall!Q3</f>
        <v>State Long Term Care Ombudsman</v>
      </c>
      <c r="R3" s="3" t="str">
        <f>Overall!R3</f>
        <v>Homecare</v>
      </c>
      <c r="S3" s="3" t="str">
        <f>Overall!S3</f>
        <v>SHIP</v>
      </c>
      <c r="T3" s="3" t="str">
        <f>Overall!T3</f>
        <v>MIPPA SHIP 7/1/23 to 9/30/23</v>
      </c>
      <c r="U3" s="3" t="str">
        <f>Overall!U3</f>
        <v>MIPPA SHIP 10/01/23 to 8/30/24</v>
      </c>
      <c r="V3" s="3" t="str">
        <f>Overall!V3</f>
        <v>MIPPA AAA  7/1/2023 to 9/30/23</v>
      </c>
      <c r="W3" s="3" t="str">
        <f>Overall!W3</f>
        <v>MIPPA AAA 10/01/23 to 8/30/24</v>
      </c>
      <c r="X3" s="3" t="str">
        <f>Overall!X3</f>
        <v>MIPPA ADRC  7/1/2023 to 9/30/23</v>
      </c>
      <c r="Y3" s="3" t="str">
        <f>Overall!AC3</f>
        <v>INNU</v>
      </c>
    </row>
    <row r="4" spans="1:25" s="13" customFormat="1" x14ac:dyDescent="0.25">
      <c r="A4" s="33" t="str">
        <f>Overall!A4</f>
        <v>Grant Award</v>
      </c>
      <c r="B4" s="25">
        <f>IF(ISBLANK(Overall!B4),"",Overall!B4)</f>
        <v>949006.36</v>
      </c>
      <c r="C4" s="25">
        <f>IF(ISBLANK(Overall!C4),"",Overall!C4)</f>
        <v>15819.31</v>
      </c>
      <c r="D4" s="25">
        <f>IF(ISBLANK(Overall!D4),"",Overall!D4)</f>
        <v>1055381.1000000001</v>
      </c>
      <c r="E4" s="25">
        <f>IF(ISBLANK(Overall!E4),"",Overall!E4)</f>
        <v>958008.07</v>
      </c>
      <c r="F4" s="25">
        <f>IF(ISBLANK(Overall!F4),"",Overall!F4)</f>
        <v>62238</v>
      </c>
      <c r="G4" s="25">
        <f>IF(ISBLANK(Overall!G4),"",Overall!G4)</f>
        <v>414362.99</v>
      </c>
      <c r="H4" s="25">
        <f>IF(ISBLANK(Overall!H4),"",Overall!H4)</f>
        <v>5939</v>
      </c>
      <c r="I4" s="25">
        <f>IF(ISBLANK(Overall!I4),"",Overall!I4)</f>
        <v>35134.28</v>
      </c>
      <c r="J4" s="25">
        <f>IF(ISBLANK(Overall!J4),"",Overall!J4)</f>
        <v>27706.400000000009</v>
      </c>
      <c r="K4" s="25">
        <f>IF(ISBLANK(Overall!K4),"",Overall!K4)</f>
        <v>112797</v>
      </c>
      <c r="L4" s="25" t="str">
        <f>IF(ISBLANK(Overall!L4),"",Overall!L4)</f>
        <v/>
      </c>
      <c r="M4" s="25">
        <f>IF(ISBLANK(Overall!M4),"",Overall!M4)</f>
        <v>120026</v>
      </c>
      <c r="N4" s="25">
        <f>IF(ISBLANK(Overall!N4),"",Overall!N4)</f>
        <v>30000</v>
      </c>
      <c r="O4" s="25" t="str">
        <f>IF(ISBLANK(Overall!O4),"",Overall!O4)</f>
        <v/>
      </c>
      <c r="P4" s="25">
        <f>IF(ISBLANK(Overall!P4),"",Overall!P4)</f>
        <v>1000</v>
      </c>
      <c r="Q4" s="25">
        <f>IF(ISBLANK(Overall!Q4),"",Overall!Q4)</f>
        <v>34310</v>
      </c>
      <c r="R4" s="25">
        <f>IF(ISBLANK(Overall!R4),"",Overall!R4)</f>
        <v>708836.33</v>
      </c>
      <c r="S4" s="25">
        <f>IF(ISBLANK(Overall!S4),"",Overall!S4)</f>
        <v>45000</v>
      </c>
      <c r="T4" s="25">
        <f>IF(ISBLANK(Overall!T4),"",Overall!T4)</f>
        <v>10931.6</v>
      </c>
      <c r="U4" s="25">
        <f>IF(ISBLANK(Overall!U4),"",Overall!U4)</f>
        <v>11911</v>
      </c>
      <c r="V4" s="25">
        <f>IF(ISBLANK(Overall!V4),"",Overall!V4)</f>
        <v>15000.630000000001</v>
      </c>
      <c r="W4" s="25">
        <f>IF(ISBLANK(Overall!W4),"",Overall!W4)</f>
        <v>8064</v>
      </c>
      <c r="X4" s="25">
        <f>IF(ISBLANK(Overall!X4),"",Overall!X4)</f>
        <v>811.42000000000007</v>
      </c>
      <c r="Y4" s="25">
        <f>IF(ISBLANK(Overall!AC4),"",Overall!AC4)</f>
        <v>4301.72</v>
      </c>
    </row>
    <row r="5" spans="1:25" s="13" customFormat="1" x14ac:dyDescent="0.25">
      <c r="A5" s="33" t="str">
        <f>Overall!A5</f>
        <v>Local Funds (Match or applied)</v>
      </c>
      <c r="B5" s="25">
        <f>IF(ISBLANK(Overall!B5),"",Overall!B5)</f>
        <v>22210.400000000001</v>
      </c>
      <c r="C5" s="25" t="str">
        <f>IF(ISBLANK(Overall!C5),"",Overall!C5)</f>
        <v/>
      </c>
      <c r="D5" s="25">
        <f>IF(ISBLANK(Overall!D5),"",Overall!D5)</f>
        <v>34934.54</v>
      </c>
      <c r="E5" s="25">
        <f>IF(ISBLANK(Overall!E5),"",Overall!E5)</f>
        <v>86984.67</v>
      </c>
      <c r="F5" s="25" t="str">
        <f>IF(ISBLANK(Overall!F5),"",Overall!F5)</f>
        <v/>
      </c>
      <c r="G5" s="25">
        <f>IF(ISBLANK(Overall!G5),"",Overall!G5)</f>
        <v>72315.56</v>
      </c>
      <c r="H5" s="25" t="str">
        <f>IF(ISBLANK(Overall!H5),"",Overall!H5)</f>
        <v/>
      </c>
      <c r="I5" s="25">
        <f>IF(ISBLANK(Overall!I5),"",Overall!I5)</f>
        <v>0</v>
      </c>
      <c r="J5" s="25" t="str">
        <f>IF(ISBLANK(Overall!J5),"",Overall!J5)</f>
        <v/>
      </c>
      <c r="K5" s="25" t="str">
        <f>IF(ISBLANK(Overall!K5),"",Overall!K5)</f>
        <v/>
      </c>
      <c r="L5" s="25" t="str">
        <f>IF(ISBLANK(Overall!L5),"",Overall!L5)</f>
        <v/>
      </c>
      <c r="M5" s="25" t="str">
        <f>IF(ISBLANK(Overall!M5),"",Overall!M5)</f>
        <v/>
      </c>
      <c r="N5" s="25" t="str">
        <f>IF(ISBLANK(Overall!N5),"",Overall!N5)</f>
        <v/>
      </c>
      <c r="O5" s="25" t="str">
        <f>IF(ISBLANK(Overall!O5),"",Overall!O5)</f>
        <v/>
      </c>
      <c r="P5" s="25" t="str">
        <f>IF(ISBLANK(Overall!P5),"",Overall!P5)</f>
        <v/>
      </c>
      <c r="Q5" s="25">
        <f>IF(ISBLANK(Overall!Q5),"",Overall!Q5)</f>
        <v>79.88</v>
      </c>
      <c r="R5" s="25" t="str">
        <f>IF(ISBLANK(Overall!R5),"",Overall!R5)</f>
        <v/>
      </c>
      <c r="S5" s="25" t="str">
        <f>IF(ISBLANK(Overall!S5),"",Overall!S5)</f>
        <v/>
      </c>
      <c r="T5" s="25" t="str">
        <f>IF(ISBLANK(Overall!T5),"",Overall!T5)</f>
        <v/>
      </c>
      <c r="U5" s="25" t="str">
        <f>IF(ISBLANK(Overall!U5),"",Overall!U5)</f>
        <v/>
      </c>
      <c r="V5" s="25" t="str">
        <f>IF(ISBLANK(Overall!V5),"",Overall!V5)</f>
        <v/>
      </c>
      <c r="W5" s="25" t="str">
        <f>IF(ISBLANK(Overall!W5),"",Overall!W5)</f>
        <v/>
      </c>
      <c r="X5" s="25" t="str">
        <f>IF(ISBLANK(Overall!X5),"",Overall!X5)</f>
        <v/>
      </c>
      <c r="Y5" s="25" t="str">
        <f>IF(ISBLANK(Overall!AC5),"",Overall!AC5)</f>
        <v/>
      </c>
    </row>
    <row r="6" spans="1:25" s="13" customFormat="1" x14ac:dyDescent="0.25">
      <c r="A6" s="33" t="str">
        <f>Overall!A6</f>
        <v>Total Grant Funds</v>
      </c>
      <c r="B6" s="25">
        <f>IF(ISBLANK(Overall!B6),"",Overall!B6)</f>
        <v>971216.76</v>
      </c>
      <c r="C6" s="25">
        <f>IF(ISBLANK(Overall!C6),"",Overall!C6)</f>
        <v>15819.31</v>
      </c>
      <c r="D6" s="25">
        <f>IF(ISBLANK(Overall!D6),"",Overall!D6)</f>
        <v>1090315.6400000001</v>
      </c>
      <c r="E6" s="25">
        <f>IF(ISBLANK(Overall!E6),"",Overall!E6)</f>
        <v>1044992.74</v>
      </c>
      <c r="F6" s="25">
        <f>IF(ISBLANK(Overall!F6),"",Overall!F6)</f>
        <v>62238</v>
      </c>
      <c r="G6" s="25">
        <f>IF(ISBLANK(Overall!G6),"",Overall!G6)</f>
        <v>486678.55</v>
      </c>
      <c r="H6" s="25">
        <f>IF(ISBLANK(Overall!H6),"",Overall!H6)</f>
        <v>5939</v>
      </c>
      <c r="I6" s="25">
        <f>IF(ISBLANK(Overall!I6),"",Overall!I6)</f>
        <v>35134.28</v>
      </c>
      <c r="J6" s="25">
        <f>IF(ISBLANK(Overall!J6),"",Overall!J6)</f>
        <v>27706.400000000009</v>
      </c>
      <c r="K6" s="25">
        <f>IF(ISBLANK(Overall!K6),"",Overall!K6)</f>
        <v>112797</v>
      </c>
      <c r="L6" s="25">
        <f>IF(ISBLANK(Overall!L6),"",Overall!L6)</f>
        <v>0</v>
      </c>
      <c r="M6" s="25">
        <f>IF(ISBLANK(Overall!M6),"",Overall!M6)</f>
        <v>120026</v>
      </c>
      <c r="N6" s="25">
        <f>IF(ISBLANK(Overall!N6),"",Overall!N6)</f>
        <v>30000</v>
      </c>
      <c r="O6" s="25">
        <f>IF(ISBLANK(Overall!O6),"",Overall!O6)</f>
        <v>0</v>
      </c>
      <c r="P6" s="25">
        <f>IF(ISBLANK(Overall!P6),"",Overall!P6)</f>
        <v>1000</v>
      </c>
      <c r="Q6" s="25">
        <f>IF(ISBLANK(Overall!Q6),"",Overall!Q6)</f>
        <v>34389.879999999997</v>
      </c>
      <c r="R6" s="25">
        <f>IF(ISBLANK(Overall!R6),"",Overall!R6)</f>
        <v>708836.33</v>
      </c>
      <c r="S6" s="25">
        <f>IF(ISBLANK(Overall!S6),"",Overall!S6)</f>
        <v>45000</v>
      </c>
      <c r="T6" s="25">
        <f>IF(ISBLANK(Overall!T6),"",Overall!T6)</f>
        <v>10931.6</v>
      </c>
      <c r="U6" s="25">
        <f>IF(ISBLANK(Overall!U6),"",Overall!U6)</f>
        <v>11911</v>
      </c>
      <c r="V6" s="25">
        <f>IF(ISBLANK(Overall!V6),"",Overall!V6)</f>
        <v>15000.630000000001</v>
      </c>
      <c r="W6" s="25">
        <f>IF(ISBLANK(Overall!W6),"",Overall!W6)</f>
        <v>8064</v>
      </c>
      <c r="X6" s="25">
        <f>IF(ISBLANK(Overall!X6),"",Overall!X6)</f>
        <v>811.42000000000007</v>
      </c>
      <c r="Y6" s="25">
        <f>IF(ISBLANK(Overall!AC6),"",Overall!AC6)</f>
        <v>4301.72</v>
      </c>
    </row>
    <row r="7" spans="1:25" s="13" customFormat="1" x14ac:dyDescent="0.25">
      <c r="A7" s="28" t="str">
        <f>Overall!A7</f>
        <v>Administrative Costs</v>
      </c>
      <c r="B7" s="6">
        <f>IF(ISBLANK(Overall!B7),"",Overall!B7)</f>
        <v>29813.09</v>
      </c>
      <c r="C7" s="6" t="str">
        <f>IF(ISBLANK(Overall!C7),"",Overall!C7)</f>
        <v/>
      </c>
      <c r="D7" s="6">
        <f>IF(ISBLANK(Overall!D7),"",Overall!D7)</f>
        <v>46344.98</v>
      </c>
      <c r="E7" s="6">
        <f>IF(ISBLANK(Overall!E7),"",Overall!E7)</f>
        <v>32745.59</v>
      </c>
      <c r="F7" s="6" t="str">
        <f>IF(ISBLANK(Overall!F7),"",Overall!F7)</f>
        <v/>
      </c>
      <c r="G7" s="6">
        <f>IF(ISBLANK(Overall!G7),"",Overall!G7)</f>
        <v>16008.55</v>
      </c>
      <c r="H7" s="6" t="str">
        <f>IF(ISBLANK(Overall!H7),"",Overall!H7)</f>
        <v/>
      </c>
      <c r="I7" s="6" t="str">
        <f>IF(ISBLANK(Overall!I7),"",Overall!I7)</f>
        <v/>
      </c>
      <c r="J7" s="36" t="str">
        <f>IF(ISBLANK(Overall!J7),"",Overall!J7)</f>
        <v/>
      </c>
      <c r="K7" s="6" t="str">
        <f>IF(ISBLANK(Overall!K7),"",Overall!K7)</f>
        <v/>
      </c>
      <c r="L7" s="6" t="str">
        <f>IF(ISBLANK(Overall!L7),"",Overall!L7)</f>
        <v/>
      </c>
      <c r="M7" s="6">
        <f>IF(ISBLANK(Overall!M7),"",Overall!M7)</f>
        <v>6290.33</v>
      </c>
      <c r="N7" s="6" t="str">
        <f>IF(ISBLANK(Overall!N7),"",Overall!N7)</f>
        <v/>
      </c>
      <c r="O7" s="6" t="str">
        <f>IF(ISBLANK(Overall!O7),"",Overall!O7)</f>
        <v/>
      </c>
      <c r="P7" s="6" t="str">
        <f>IF(ISBLANK(Overall!P7),"",Overall!P7)</f>
        <v/>
      </c>
      <c r="Q7" s="6" t="str">
        <f>IF(ISBLANK(Overall!Q7),"",Overall!Q7)</f>
        <v/>
      </c>
      <c r="R7" s="6">
        <f>IF(ISBLANK(Overall!R7),"",Overall!R7)</f>
        <v>64263.360000000001</v>
      </c>
      <c r="S7" s="6">
        <f>IF(ISBLANK(Overall!S7),"",Overall!S7)</f>
        <v>1812.06</v>
      </c>
      <c r="T7" s="6" t="str">
        <f>IF(ISBLANK(Overall!T7),"",Overall!T7)</f>
        <v/>
      </c>
      <c r="U7" s="6" t="str">
        <f>IF(ISBLANK(Overall!U7),"",Overall!U7)</f>
        <v/>
      </c>
      <c r="V7" s="6" t="str">
        <f>IF(ISBLANK(Overall!V7),"",Overall!V7)</f>
        <v/>
      </c>
      <c r="W7" s="6" t="str">
        <f>IF(ISBLANK(Overall!W7),"",Overall!W7)</f>
        <v/>
      </c>
      <c r="X7" s="6" t="str">
        <f>IF(ISBLANK(Overall!X7),"",Overall!X7)</f>
        <v/>
      </c>
      <c r="Y7" s="6" t="str">
        <f>IF(ISBLANK(Overall!AC7),"",Overall!AC7)</f>
        <v/>
      </c>
    </row>
    <row r="8" spans="1:25" s="27" customFormat="1" x14ac:dyDescent="0.25">
      <c r="A8" s="32" t="str">
        <f>Overall!A8</f>
        <v>% of Admin Cost</v>
      </c>
      <c r="B8" s="8">
        <f>IF(ISBLANK(Overall!B8),"",Overall!B8)</f>
        <v>3.0696638719455376E-2</v>
      </c>
      <c r="C8" s="8">
        <f>IF(ISBLANK(Overall!C8),"",Overall!C8)</f>
        <v>0</v>
      </c>
      <c r="D8" s="8">
        <f>IF(ISBLANK(Overall!D8),"",Overall!D8)</f>
        <v>4.2506021467324816E-2</v>
      </c>
      <c r="E8" s="8">
        <f>IF(ISBLANK(Overall!E8),"",Overall!E8)</f>
        <v>3.1335710523692252E-2</v>
      </c>
      <c r="F8" s="8">
        <f>IF(ISBLANK(Overall!F8),"",Overall!F8)</f>
        <v>0</v>
      </c>
      <c r="G8" s="8">
        <f>IF(ISBLANK(Overall!G8),"",Overall!G8)</f>
        <v>3.2893477635289249E-2</v>
      </c>
      <c r="H8" s="8">
        <f>IF(ISBLANK(Overall!H8),"",Overall!H8)</f>
        <v>0</v>
      </c>
      <c r="I8" s="8">
        <f>IF(ISBLANK(Overall!I8),"",Overall!I8)</f>
        <v>0</v>
      </c>
      <c r="J8" s="8">
        <f>IF(ISBLANK(Overall!J8),"",Overall!J8)</f>
        <v>0</v>
      </c>
      <c r="K8" s="8">
        <f>IF(ISBLANK(Overall!K8),"",Overall!K8)</f>
        <v>0</v>
      </c>
      <c r="L8" s="8" t="e">
        <f>IF(ISBLANK(Overall!L8),"",Overall!L8)</f>
        <v>#DIV/0!</v>
      </c>
      <c r="M8" s="8">
        <f>IF(ISBLANK(Overall!M8),"",Overall!M8)</f>
        <v>5.2408061586656222E-2</v>
      </c>
      <c r="N8" s="8">
        <f>IF(ISBLANK(Overall!N8),"",Overall!N8)</f>
        <v>0</v>
      </c>
      <c r="O8" s="8" t="e">
        <f>IF(ISBLANK(Overall!O8),"",Overall!O8)</f>
        <v>#DIV/0!</v>
      </c>
      <c r="P8" s="8">
        <f>IF(ISBLANK(Overall!P8),"",Overall!P8)</f>
        <v>0</v>
      </c>
      <c r="Q8" s="8">
        <f>IF(ISBLANK(Overall!Q8),"",Overall!Q8)</f>
        <v>0</v>
      </c>
      <c r="R8" s="8">
        <f>IF(ISBLANK(Overall!R8),"",Overall!R8)</f>
        <v>9.0660364431377274E-2</v>
      </c>
      <c r="S8" s="8">
        <f>IF(ISBLANK(Overall!S8),"",Overall!S8)</f>
        <v>4.0267999999999998E-2</v>
      </c>
      <c r="T8" s="8">
        <f>IF(ISBLANK(Overall!T8),"",Overall!T8)</f>
        <v>0</v>
      </c>
      <c r="U8" s="8">
        <f>IF(ISBLANK(Overall!U8),"",Overall!U8)</f>
        <v>0</v>
      </c>
      <c r="V8" s="8">
        <f>IF(ISBLANK(Overall!V8),"",Overall!V8)</f>
        <v>0</v>
      </c>
      <c r="W8" s="8">
        <f>IF(ISBLANK(Overall!W8),"",Overall!W8)</f>
        <v>0</v>
      </c>
      <c r="X8" s="8">
        <f>IF(ISBLANK(Overall!X8),"",Overall!X8)</f>
        <v>0</v>
      </c>
      <c r="Y8" s="8">
        <f>IF(ISBLANK(Overall!AC8),"",Overall!AC8)</f>
        <v>0</v>
      </c>
    </row>
    <row r="9" spans="1:25" s="13" customFormat="1" x14ac:dyDescent="0.25">
      <c r="A9" s="28" t="str">
        <f>Overall!A9</f>
        <v>Direct Expenditures</v>
      </c>
      <c r="B9" s="6">
        <f>IF(ISBLANK(Overall!B9),"",Overall!B9)</f>
        <v>641077.22</v>
      </c>
      <c r="C9" s="6">
        <f>IF(ISBLANK(Overall!C9),"",Overall!C9)</f>
        <v>11873.62</v>
      </c>
      <c r="D9" s="6">
        <f>IF(ISBLANK(Overall!D9),"",Overall!D9)</f>
        <v>846939.11</v>
      </c>
      <c r="E9" s="6">
        <f>IF(ISBLANK(Overall!E9),"",Overall!E9)</f>
        <v>559403.43999999994</v>
      </c>
      <c r="F9" s="6">
        <f>IF(ISBLANK(Overall!F9),"",Overall!F9)</f>
        <v>37154.199999999997</v>
      </c>
      <c r="G9" s="6">
        <f>IF(ISBLANK(Overall!G9),"",Overall!G9)</f>
        <v>293778.11</v>
      </c>
      <c r="H9" s="6">
        <f>IF(ISBLANK(Overall!H9),"",Overall!H9)</f>
        <v>4105.1000000000004</v>
      </c>
      <c r="I9" s="6">
        <f>IF(ISBLANK(Overall!I9),"",Overall!I9)</f>
        <v>28506.7</v>
      </c>
      <c r="J9" s="36">
        <f>IF(ISBLANK(Overall!J9),"",Overall!J9)</f>
        <v>27706.400000000009</v>
      </c>
      <c r="K9" s="6">
        <f>IF(ISBLANK(Overall!K9),"",Overall!K9)</f>
        <v>77280.899999999994</v>
      </c>
      <c r="L9" s="6" t="str">
        <f>IF(ISBLANK(Overall!L9),"",Overall!L9)</f>
        <v/>
      </c>
      <c r="M9" s="6">
        <f>IF(ISBLANK(Overall!M9),"",Overall!M9)</f>
        <v>103389.93</v>
      </c>
      <c r="N9" s="6">
        <f>IF(ISBLANK(Overall!N9),"",Overall!N9)</f>
        <v>16806.13</v>
      </c>
      <c r="O9" s="6" t="str">
        <f>IF(ISBLANK(Overall!O9),"",Overall!O9)</f>
        <v/>
      </c>
      <c r="P9" s="6">
        <f>IF(ISBLANK(Overall!P9),"",Overall!P9)</f>
        <v>1000</v>
      </c>
      <c r="Q9" s="6">
        <f>IF(ISBLANK(Overall!Q9),"",Overall!Q9)</f>
        <v>26657.43</v>
      </c>
      <c r="R9" s="6">
        <f>IF(ISBLANK(Overall!R9),"",Overall!R9)</f>
        <v>580861.44999999995</v>
      </c>
      <c r="S9" s="6">
        <f>IF(ISBLANK(Overall!S9),"",Overall!S9)</f>
        <v>35805.85</v>
      </c>
      <c r="T9" s="6">
        <f>IF(ISBLANK(Overall!T9),"",Overall!T9)</f>
        <v>10128.42</v>
      </c>
      <c r="U9" s="6">
        <f>IF(ISBLANK(Overall!U9),"",Overall!U9)</f>
        <v>6253.28</v>
      </c>
      <c r="V9" s="6">
        <f>IF(ISBLANK(Overall!V9),"",Overall!V9)</f>
        <v>5449.31</v>
      </c>
      <c r="W9" s="6">
        <f>IF(ISBLANK(Overall!W9),"",Overall!W9)</f>
        <v>3359.07</v>
      </c>
      <c r="X9" s="6">
        <f>IF(ISBLANK(Overall!X9),"",Overall!X9)</f>
        <v>256.31999999999971</v>
      </c>
      <c r="Y9" s="6">
        <f>IF(ISBLANK(Overall!AC9),"",Overall!AC9)</f>
        <v>4172</v>
      </c>
    </row>
    <row r="10" spans="1:25" s="27" customFormat="1" x14ac:dyDescent="0.25">
      <c r="A10" s="32" t="str">
        <f>Overall!A10</f>
        <v>% of Direct Expenditures</v>
      </c>
      <c r="B10" s="8">
        <f>IF(ISBLANK(Overall!B10),"",Overall!B10)</f>
        <v>0.66007635617820271</v>
      </c>
      <c r="C10" s="8">
        <f>IF(ISBLANK(Overall!C10),"",Overall!C10)</f>
        <v>0.75057761684928115</v>
      </c>
      <c r="D10" s="8">
        <f>IF(ISBLANK(Overall!D10),"",Overall!D10)</f>
        <v>0.7767834184236776</v>
      </c>
      <c r="E10" s="8">
        <f>IF(ISBLANK(Overall!E10),"",Overall!E10)</f>
        <v>0.53531801570219517</v>
      </c>
      <c r="F10" s="8">
        <f>IF(ISBLANK(Overall!F10),"",Overall!F10)</f>
        <v>0.59696969696969693</v>
      </c>
      <c r="G10" s="8">
        <f>IF(ISBLANK(Overall!G10),"",Overall!G10)</f>
        <v>0.60363891114576551</v>
      </c>
      <c r="H10" s="8">
        <f>IF(ISBLANK(Overall!H10),"",Overall!H10)</f>
        <v>0.69121064152214184</v>
      </c>
      <c r="I10" s="8">
        <f>IF(ISBLANK(Overall!I10),"",Overall!I10)</f>
        <v>0.81136428582000264</v>
      </c>
      <c r="J10" s="8">
        <f>IF(ISBLANK(Overall!J10),"",Overall!J10)</f>
        <v>1</v>
      </c>
      <c r="K10" s="8">
        <f>IF(ISBLANK(Overall!K10),"",Overall!K10)</f>
        <v>0.68513258331338589</v>
      </c>
      <c r="L10" s="8" t="e">
        <f>IF(ISBLANK(Overall!L10),"",Overall!L10)</f>
        <v>#DIV/0!</v>
      </c>
      <c r="M10" s="8">
        <f>IF(ISBLANK(Overall!M10),"",Overall!M10)</f>
        <v>0.86139611417526196</v>
      </c>
      <c r="N10" s="8">
        <f>IF(ISBLANK(Overall!N10),"",Overall!N10)</f>
        <v>0.56020433333333342</v>
      </c>
      <c r="O10" s="8" t="e">
        <f>IF(ISBLANK(Overall!O10),"",Overall!O10)</f>
        <v>#DIV/0!</v>
      </c>
      <c r="P10" s="8">
        <f>IF(ISBLANK(Overall!P10),"",Overall!P10)</f>
        <v>1</v>
      </c>
      <c r="Q10" s="8">
        <f>IF(ISBLANK(Overall!Q10),"",Overall!Q10)</f>
        <v>0.77515332999126496</v>
      </c>
      <c r="R10" s="8">
        <f>IF(ISBLANK(Overall!R10),"",Overall!R10)</f>
        <v>0.81945778653867807</v>
      </c>
      <c r="S10" s="8">
        <f>IF(ISBLANK(Overall!S10),"",Overall!S10)</f>
        <v>0.79568555555555553</v>
      </c>
      <c r="T10" s="8">
        <f>IF(ISBLANK(Overall!T10),"",Overall!T10)</f>
        <v>0.92652676643858167</v>
      </c>
      <c r="U10" s="8">
        <f>IF(ISBLANK(Overall!U10),"",Overall!U10)</f>
        <v>0.5250004197800352</v>
      </c>
      <c r="V10" s="8">
        <f>IF(ISBLANK(Overall!V10),"",Overall!V10)</f>
        <v>0.3632720759061453</v>
      </c>
      <c r="W10" s="8">
        <f>IF(ISBLANK(Overall!W10),"",Overall!W10)</f>
        <v>0.41655133928571431</v>
      </c>
      <c r="X10" s="8">
        <f>IF(ISBLANK(Overall!X10),"",Overall!X10)</f>
        <v>0.31589066081683925</v>
      </c>
      <c r="Y10" s="8">
        <f>IF(ISBLANK(Overall!AC10),"",Overall!AC10)</f>
        <v>0.96984462029141827</v>
      </c>
    </row>
    <row r="11" spans="1:25" s="13" customFormat="1" x14ac:dyDescent="0.25">
      <c r="A11" s="28" t="str">
        <f>Overall!A11</f>
        <v>Indirect Expenditures</v>
      </c>
      <c r="B11" s="6">
        <f>IF(ISBLANK(Overall!B11),"",Overall!B11)</f>
        <v>56618.71</v>
      </c>
      <c r="C11" s="6">
        <f>IF(ISBLANK(Overall!C11),"",Overall!C11)</f>
        <v>3812.84</v>
      </c>
      <c r="D11" s="6">
        <f>IF(ISBLANK(Overall!D11),"",Overall!D11)</f>
        <v>87663.039999999994</v>
      </c>
      <c r="E11" s="6">
        <f>IF(ISBLANK(Overall!E11),"",Overall!E11)</f>
        <v>8377.42</v>
      </c>
      <c r="F11" s="6">
        <f>IF(ISBLANK(Overall!F11),"",Overall!F11)</f>
        <v>4201.7</v>
      </c>
      <c r="G11" s="6">
        <f>IF(ISBLANK(Overall!G11),"",Overall!G11)</f>
        <v>15114.919999999998</v>
      </c>
      <c r="H11" s="6">
        <f>IF(ISBLANK(Overall!H11),"",Overall!H11)</f>
        <v>1395.2</v>
      </c>
      <c r="I11" s="6">
        <f>IF(ISBLANK(Overall!I11),"",Overall!I11)</f>
        <v>4009.54</v>
      </c>
      <c r="J11" s="36" t="str">
        <f>IF(ISBLANK(Overall!J11),"",Overall!J11)</f>
        <v/>
      </c>
      <c r="K11" s="6" t="str">
        <f>IF(ISBLANK(Overall!K11),"",Overall!K11)</f>
        <v/>
      </c>
      <c r="L11" s="6" t="str">
        <f>IF(ISBLANK(Overall!L11),"",Overall!L11)</f>
        <v/>
      </c>
      <c r="M11" s="6">
        <f>IF(ISBLANK(Overall!M11),"",Overall!M11)</f>
        <v>10016.16</v>
      </c>
      <c r="N11" s="6">
        <f>IF(ISBLANK(Overall!N11),"",Overall!N11)</f>
        <v>8167.56</v>
      </c>
      <c r="O11" s="6" t="str">
        <f>IF(ISBLANK(Overall!O11),"",Overall!O11)</f>
        <v/>
      </c>
      <c r="P11" s="6" t="str">
        <f>IF(ISBLANK(Overall!P11),"",Overall!P11)</f>
        <v/>
      </c>
      <c r="Q11" s="6">
        <f>IF(ISBLANK(Overall!Q11),"",Overall!Q11)</f>
        <v>7732.45</v>
      </c>
      <c r="R11" s="6">
        <f>IF(ISBLANK(Overall!R11),"",Overall!R11)</f>
        <v>58719.320000000007</v>
      </c>
      <c r="S11" s="6">
        <f>IF(ISBLANK(Overall!S11),"",Overall!S11)</f>
        <v>6983.53</v>
      </c>
      <c r="T11" s="6">
        <f>IF(ISBLANK(Overall!T11),"",Overall!T11)</f>
        <v>492.38999999999987</v>
      </c>
      <c r="U11" s="6">
        <f>IF(ISBLANK(Overall!U11),"",Overall!U11)</f>
        <v>2534.31</v>
      </c>
      <c r="V11" s="6">
        <f>IF(ISBLANK(Overall!V11),"",Overall!V11)</f>
        <v>0</v>
      </c>
      <c r="W11" s="6">
        <f>IF(ISBLANK(Overall!W11),"",Overall!W11)</f>
        <v>422.67</v>
      </c>
      <c r="X11" s="6">
        <f>IF(ISBLANK(Overall!X11),"",Overall!X11)</f>
        <v>40.3900000000001</v>
      </c>
      <c r="Y11" s="6">
        <f>IF(ISBLANK(Overall!AC11),"",Overall!AC11)</f>
        <v>127.1</v>
      </c>
    </row>
    <row r="12" spans="1:25" s="27" customFormat="1" x14ac:dyDescent="0.25">
      <c r="A12" s="32" t="str">
        <f>Overall!A12</f>
        <v>% of Indirect Expenditures</v>
      </c>
      <c r="B12" s="8">
        <f>IF(ISBLANK(Overall!B12),"",Overall!B12)</f>
        <v>5.8296677252563059E-2</v>
      </c>
      <c r="C12" s="8">
        <f>IF(ISBLANK(Overall!C12),"",Overall!C12)</f>
        <v>0.24102441889058374</v>
      </c>
      <c r="D12" s="8">
        <f>IF(ISBLANK(Overall!D12),"",Overall!D12)</f>
        <v>8.0401524828168092E-2</v>
      </c>
      <c r="E12" s="8">
        <f>IF(ISBLANK(Overall!E12),"",Overall!E12)</f>
        <v>8.0167255516052673E-3</v>
      </c>
      <c r="F12" s="8">
        <f>IF(ISBLANK(Overall!F12),"",Overall!F12)</f>
        <v>6.7510202770011893E-2</v>
      </c>
      <c r="G12" s="8">
        <f>IF(ISBLANK(Overall!G12),"",Overall!G12)</f>
        <v>3.1057296443412184E-2</v>
      </c>
      <c r="H12" s="8">
        <f>IF(ISBLANK(Overall!H12),"",Overall!H12)</f>
        <v>0.2349217039905708</v>
      </c>
      <c r="I12" s="8">
        <f>IF(ISBLANK(Overall!I12),"",Overall!I12)</f>
        <v>0.11412045443936805</v>
      </c>
      <c r="J12" s="8">
        <f>IF(ISBLANK(Overall!J12),"",Overall!J12)</f>
        <v>0</v>
      </c>
      <c r="K12" s="8">
        <f>IF(ISBLANK(Overall!K12),"",Overall!K12)</f>
        <v>0</v>
      </c>
      <c r="L12" s="8" t="e">
        <f>IF(ISBLANK(Overall!L12),"",Overall!L12)</f>
        <v>#DIV/0!</v>
      </c>
      <c r="M12" s="8">
        <f>IF(ISBLANK(Overall!M12),"",Overall!M12)</f>
        <v>8.3449919184176755E-2</v>
      </c>
      <c r="N12" s="8">
        <f>IF(ISBLANK(Overall!N12),"",Overall!N12)</f>
        <v>0.27225199999999999</v>
      </c>
      <c r="O12" s="8" t="e">
        <f>IF(ISBLANK(Overall!O12),"",Overall!O12)</f>
        <v>#DIV/0!</v>
      </c>
      <c r="P12" s="8">
        <f>IF(ISBLANK(Overall!P12),"",Overall!P12)</f>
        <v>0</v>
      </c>
      <c r="Q12" s="8">
        <f>IF(ISBLANK(Overall!Q12),"",Overall!Q12)</f>
        <v>0.22484667000873515</v>
      </c>
      <c r="R12" s="8">
        <f>IF(ISBLANK(Overall!R12),"",Overall!R12)</f>
        <v>8.2839038456169439E-2</v>
      </c>
      <c r="S12" s="8">
        <f>IF(ISBLANK(Overall!S12),"",Overall!S12)</f>
        <v>0.15518955555555555</v>
      </c>
      <c r="T12" s="8">
        <f>IF(ISBLANK(Overall!T12),"",Overall!T12)</f>
        <v>4.5042811665263992E-2</v>
      </c>
      <c r="U12" s="8">
        <f>IF(ISBLANK(Overall!U12),"",Overall!U12)</f>
        <v>0.21277054823272604</v>
      </c>
      <c r="V12" s="8">
        <f>IF(ISBLANK(Overall!V12),"",Overall!V12)</f>
        <v>0</v>
      </c>
      <c r="W12" s="8">
        <f>IF(ISBLANK(Overall!W12),"",Overall!W12)</f>
        <v>5.2414434523809526E-2</v>
      </c>
      <c r="X12" s="8">
        <f>IF(ISBLANK(Overall!X12),"",Overall!X12)</f>
        <v>4.9776934263390228E-2</v>
      </c>
      <c r="Y12" s="8">
        <f>IF(ISBLANK(Overall!AC12),"",Overall!AC12)</f>
        <v>2.9546321006481125E-2</v>
      </c>
    </row>
    <row r="13" spans="1:25" s="13" customFormat="1" x14ac:dyDescent="0.25">
      <c r="A13" s="28" t="str">
        <f>Overall!A13</f>
        <v>Unexpended Funds</v>
      </c>
      <c r="B13" s="6">
        <f>IF(ISBLANK(Overall!B13),"",Overall!B13)</f>
        <v>243707.74000000008</v>
      </c>
      <c r="C13" s="6">
        <f>IF(ISBLANK(Overall!C13),"",Overall!C13)</f>
        <v>132.84999999999854</v>
      </c>
      <c r="D13" s="6">
        <f>IF(ISBLANK(Overall!D13),"",Overall!D13)</f>
        <v>109368.51000000017</v>
      </c>
      <c r="E13" s="6">
        <f>IF(ISBLANK(Overall!E13),"",Overall!E13)</f>
        <v>444466.2900000001</v>
      </c>
      <c r="F13" s="6">
        <f>IF(ISBLANK(Overall!F13),"",Overall!F13)</f>
        <v>20882.100000000002</v>
      </c>
      <c r="G13" s="6">
        <f>IF(ISBLANK(Overall!G13),"",Overall!G13)</f>
        <v>161776.97000000003</v>
      </c>
      <c r="H13" s="6">
        <f>IF(ISBLANK(Overall!H13),"",Overall!H13)</f>
        <v>438.69999999999959</v>
      </c>
      <c r="I13" s="6">
        <f>IF(ISBLANK(Overall!I13),"",Overall!I13)</f>
        <v>2618.0399999999981</v>
      </c>
      <c r="J13" s="36">
        <f>IF(ISBLANK(Overall!J13),"",Overall!J13)</f>
        <v>0</v>
      </c>
      <c r="K13" s="6">
        <f>IF(ISBLANK(Overall!K13),"",Overall!K13)</f>
        <v>35516.100000000006</v>
      </c>
      <c r="L13" s="6">
        <f>IF(ISBLANK(Overall!L13),"",Overall!L13)</f>
        <v>0</v>
      </c>
      <c r="M13" s="6">
        <f>IF(ISBLANK(Overall!M13),"",Overall!M13)</f>
        <v>329.58000000000538</v>
      </c>
      <c r="N13" s="6">
        <f>IF(ISBLANK(Overall!N13),"",Overall!N13)</f>
        <v>5026.3099999999986</v>
      </c>
      <c r="O13" s="6">
        <f>IF(ISBLANK(Overall!O13),"",Overall!O13)</f>
        <v>0</v>
      </c>
      <c r="P13" s="6">
        <f>IF(ISBLANK(Overall!P13),"",Overall!P13)</f>
        <v>0</v>
      </c>
      <c r="Q13" s="6">
        <f>IF(ISBLANK(Overall!Q13),"",Overall!Q13)</f>
        <v>0</v>
      </c>
      <c r="R13" s="6">
        <f>IF(ISBLANK(Overall!R13),"",Overall!R13)</f>
        <v>4992.2000000000116</v>
      </c>
      <c r="S13" s="6">
        <f>IF(ISBLANK(Overall!S13),"",Overall!S13)</f>
        <v>398.56000000000404</v>
      </c>
      <c r="T13" s="6">
        <f>IF(ISBLANK(Overall!T13),"",Overall!T13)</f>
        <v>310.79000000000042</v>
      </c>
      <c r="U13" s="6">
        <f>IF(ISBLANK(Overall!U13),"",Overall!U13)</f>
        <v>3123.4100000000003</v>
      </c>
      <c r="V13" s="6">
        <f>IF(ISBLANK(Overall!V13),"",Overall!V13)</f>
        <v>9551.32</v>
      </c>
      <c r="W13" s="6">
        <f>IF(ISBLANK(Overall!W13),"",Overall!W13)</f>
        <v>4282.26</v>
      </c>
      <c r="X13" s="6">
        <f>IF(ISBLANK(Overall!X13),"",Overall!X13)</f>
        <v>514.71000000000026</v>
      </c>
      <c r="Y13" s="6">
        <f>IF(ISBLANK(Overall!AC13),"",Overall!AC13)</f>
        <v>2.6200000000002603</v>
      </c>
    </row>
    <row r="14" spans="1:25" ht="32.25" customHeight="1" x14ac:dyDescent="0.25">
      <c r="A14" s="31" t="str">
        <f>Overall!A14</f>
        <v>Explanation of Unexpended Funds</v>
      </c>
      <c r="B14" s="7" t="str">
        <f>IF(ISBLANK(Overall!B14),"",Overall!B14)</f>
        <v xml:space="preserve">$83,565.81 ARPA funds that expire 9/30/24 are remaining. </v>
      </c>
      <c r="C14" s="7" t="str">
        <f>IF(ISBLANK(Overall!C14),"",Overall!C14)</f>
        <v/>
      </c>
      <c r="D14" s="7" t="str">
        <f>IF(ISBLANK(Overall!D14),"",Overall!D14)</f>
        <v xml:space="preserve">Expended out of Unexpended and ARPA funds prior to allocated. </v>
      </c>
      <c r="E14" s="7" t="str">
        <f>IF(ISBLANK(Overall!E14),"",Overall!E14)</f>
        <v xml:space="preserve">$139,754.30 ARPA funds that expire 9/30/24 are remaining. </v>
      </c>
      <c r="F14" s="7" t="str">
        <f>IF(ISBLANK(Overall!F14),"",Overall!F14)</f>
        <v>$10,426.71 ARPA funds that expire 9/30/24 are remaining.</v>
      </c>
      <c r="G14" s="7" t="str">
        <f>IF(ISBLANK(Overall!G14),"",Overall!G14)</f>
        <v>All clients were served with some not expending all their alloted funds therefore increasing vouchers/respite amounts for FY23 plus received ARPA funds.                                                          $23,648.50 ARPA funds that expire 9/30/24 are remaining.</v>
      </c>
      <c r="H14" s="7" t="str">
        <f>IF(ISBLANK(Overall!H14),"",Overall!H14)</f>
        <v/>
      </c>
      <c r="I14" s="7" t="str">
        <f>IF(ISBLANK(Overall!I14),"",Overall!I14)</f>
        <v/>
      </c>
      <c r="J14" s="37" t="str">
        <f>IF(ISBLANK(Overall!J14),"",Overall!J14)</f>
        <v/>
      </c>
      <c r="K14" s="7" t="str">
        <f>IF(ISBLANK(Overall!K14),"",Overall!K14)</f>
        <v>We have 3 more months to expend funds as they don't expire until the end of September.</v>
      </c>
      <c r="L14" s="7" t="str">
        <f>IF(ISBLANK(Overall!L14),"",Overall!L14)</f>
        <v/>
      </c>
      <c r="M14" s="7" t="str">
        <f>IF(ISBLANK(Overall!M14),"",Overall!M14)</f>
        <v/>
      </c>
      <c r="N14" s="7" t="str">
        <f>IF(ISBLANK(Overall!N14),"",Overall!N14)</f>
        <v/>
      </c>
      <c r="O14" s="7" t="str">
        <f>IF(ISBLANK(Overall!O14),"",Overall!O14)</f>
        <v/>
      </c>
      <c r="P14" s="7" t="str">
        <f>IF(ISBLANK(Overall!P14),"",Overall!P14)</f>
        <v>AED purchased cost $995.00</v>
      </c>
      <c r="Q14" s="7" t="str">
        <f>IF(ISBLANK(Overall!Q14),"",Overall!Q14)</f>
        <v/>
      </c>
      <c r="R14" s="7" t="str">
        <f>IF(ISBLANK(Overall!R14),"",Overall!R14)</f>
        <v>Lifeline had trouble keeping staff or they just would show up for interviews.</v>
      </c>
      <c r="S14" s="7" t="str">
        <f>IF(ISBLANK(Overall!S14),"",Overall!S14)</f>
        <v/>
      </c>
      <c r="T14" s="7" t="str">
        <f>IF(ISBLANK(Overall!T14),"",Overall!T14)</f>
        <v/>
      </c>
      <c r="U14" s="7" t="str">
        <f>IF(ISBLANK(Overall!U14),"",Overall!U14)</f>
        <v>We have 2 more months to expend funds as they don't expire until the end of August.</v>
      </c>
      <c r="V14" s="7" t="str">
        <f>IF(ISBLANK(Overall!V14),"",Overall!V14)</f>
        <v/>
      </c>
      <c r="W14" s="7" t="str">
        <f>IF(ISBLANK(Overall!W14),"",Overall!W14)</f>
        <v>We have 2 more months to expend funds as they don't expire until the end of August.</v>
      </c>
      <c r="X14" s="7" t="str">
        <f>IF(ISBLANK(Overall!X14),"",Overall!X14)</f>
        <v/>
      </c>
      <c r="Y14" s="7" t="str">
        <f>IF(ISBLANK(Overall!AC14),"",Overall!AC14)</f>
        <v/>
      </c>
    </row>
    <row r="16" spans="1:25" s="1" customFormat="1" ht="127.35" customHeight="1" x14ac:dyDescent="0.25">
      <c r="A16" s="5" t="str">
        <f>Overall!A16</f>
        <v>List of Direct Services provided by ADD</v>
      </c>
      <c r="B16" s="5" t="str">
        <f>IF(ISBLANK(Overall!B16),"",Overall!B16)</f>
        <v>Assessment, Case Management, I&amp;A, Transportation and Recreation</v>
      </c>
      <c r="C16" s="5" t="str">
        <f>IF(ISBLANK(Overall!C16),"",Overall!C16)</f>
        <v>Ombudsman</v>
      </c>
      <c r="D16" s="5" t="str">
        <f>IF(ISBLANK(Overall!D16),"",Overall!D16)</f>
        <v>Congregate Meals</v>
      </c>
      <c r="E16" s="5" t="str">
        <f>IF(ISBLANK(Overall!E16),"",Overall!E16)</f>
        <v>Home Delivered Meals</v>
      </c>
      <c r="F16" s="5" t="str">
        <f>IF(ISBLANK(Overall!F16),"",Overall!F16)</f>
        <v>Bingocise,   Walk With Ease, Drums Alive</v>
      </c>
      <c r="G16" s="5" t="str">
        <f>IF(ISBLANK(Overall!G16),"",Overall!G16)</f>
        <v>Caregiver:  Case Management, I&amp;R/I&amp;A, Respite, Supplemental Services, Support Group Grandparent:  Case Management. I&amp;R/I&amp;A, Assistance, Supplemental and Support Groups</v>
      </c>
      <c r="H16" s="5" t="str">
        <f>IF(ISBLANK(Overall!H16),"",Overall!H16)</f>
        <v>Elder Abuse</v>
      </c>
      <c r="I16" s="5" t="str">
        <f>IF(ISBLANK(Overall!I16),"",Overall!I16)</f>
        <v xml:space="preserve">Ombudsman </v>
      </c>
      <c r="J16" s="38" t="str">
        <f>IF(ISBLANK(Overall!J16),"",Overall!J16)</f>
        <v>USDA/NSIP</v>
      </c>
      <c r="K16" s="5" t="str">
        <f>IF(ISBLANK(Overall!K16),"",Overall!K16)</f>
        <v>USDA/NSIP</v>
      </c>
      <c r="L16" s="5" t="str">
        <f>IF(ISBLANK(Overall!L16),"",Overall!L16)</f>
        <v/>
      </c>
      <c r="M16" s="5" t="str">
        <f>IF(ISBLANK(Overall!M16),"",Overall!M16)</f>
        <v>Assistance, I&amp;R/I&amp;A, Supplemental Services, Support Groups</v>
      </c>
      <c r="N16" s="5" t="str">
        <f>IF(ISBLANK(Overall!N16),"",Overall!N16)</f>
        <v>ADRC</v>
      </c>
      <c r="O16" s="5" t="str">
        <f>IF(ISBLANK(Overall!O16),"",Overall!O16)</f>
        <v/>
      </c>
      <c r="P16" s="5" t="str">
        <f>IF(ISBLANK(Overall!P16),"",Overall!P16)</f>
        <v>FAST</v>
      </c>
      <c r="Q16" s="5" t="str">
        <f>IF(ISBLANK(Overall!Q16),"",Overall!Q16)</f>
        <v>Ombudsman</v>
      </c>
      <c r="R16" s="5" t="str">
        <f>IF(ISBLANK(Overall!R16),"",Overall!R16)</f>
        <v>I&amp;A/I&amp;R, Assessment, Case Management,Home Repair, Personal Care, Respite and Supplies</v>
      </c>
      <c r="S16" s="5" t="str">
        <f>IF(ISBLANK(Overall!S16),"",Overall!S16)</f>
        <v>SHIP</v>
      </c>
      <c r="T16" s="5" t="str">
        <f>IF(ISBLANK(Overall!T16),"",Overall!T16)</f>
        <v>SHIP</v>
      </c>
      <c r="U16" s="5" t="str">
        <f>IF(ISBLANK(Overall!U16),"",Overall!U16)</f>
        <v>SHIP</v>
      </c>
      <c r="V16" s="5" t="str">
        <f>IF(ISBLANK(Overall!V16),"",Overall!V16)</f>
        <v>AAA</v>
      </c>
      <c r="W16" s="5" t="str">
        <f>IF(ISBLANK(Overall!W16),"",Overall!W16)</f>
        <v>AAA</v>
      </c>
      <c r="X16" s="5" t="str">
        <f>IF(ISBLANK(Overall!X16),"",Overall!X16)</f>
        <v>ADRC</v>
      </c>
      <c r="Y16" s="5" t="str">
        <f>IF(ISBLANK(Overall!AC16),"",Overall!AC16)</f>
        <v>Suicide prevention training our staff</v>
      </c>
    </row>
    <row r="17" spans="1:25" x14ac:dyDescent="0.25">
      <c r="A17" s="10"/>
    </row>
    <row r="18" spans="1:25" ht="41.45" customHeight="1" x14ac:dyDescent="0.25">
      <c r="A18" s="109" t="str">
        <f>Overall!A18</f>
        <v>Direct Service Providers/Contractors Contracted by ADD and services provided</v>
      </c>
      <c r="B18" s="5" t="str">
        <f>IF(ISBLANK(Overall!B18),"",Overall!B18)</f>
        <v>Lifeline Homecare / Chorse, Home Management, Personal Care, and Respite ... ARDF / Legal Assistance</v>
      </c>
      <c r="C18" s="5" t="str">
        <f>IF(ISBLANK(Overall!C18),"",Overall!C18)</f>
        <v/>
      </c>
      <c r="D18" s="5" t="str">
        <f>IF(ISBLANK(Overall!D18),"",Overall!D18)</f>
        <v/>
      </c>
      <c r="E18" s="5" t="str">
        <f>IF(ISBLANK(Overall!E18),"",Overall!E18)</f>
        <v>Mom's Meals / delivery of meals</v>
      </c>
      <c r="F18" s="5" t="str">
        <f>IF(ISBLANK(Overall!F18),"",Overall!F18)</f>
        <v/>
      </c>
      <c r="G18" s="5" t="str">
        <f>IF(ISBLANK(Overall!G18),"",Overall!G18)</f>
        <v/>
      </c>
      <c r="H18" s="5" t="str">
        <f>IF(ISBLANK(Overall!H18),"",Overall!H18)</f>
        <v/>
      </c>
      <c r="I18" s="5" t="str">
        <f>IF(ISBLANK(Overall!I18),"",Overall!I18)</f>
        <v/>
      </c>
      <c r="J18" s="38" t="str">
        <f>IF(ISBLANK(Overall!J18),"",Overall!J18)</f>
        <v/>
      </c>
      <c r="K18" s="5" t="str">
        <f>IF(ISBLANK(Overall!K18),"",Overall!K18)</f>
        <v/>
      </c>
      <c r="L18" s="5" t="str">
        <f>IF(ISBLANK(Overall!L18),"",Overall!L18)</f>
        <v/>
      </c>
      <c r="M18" s="5" t="str">
        <f>IF(ISBLANK(Overall!M18),"",Overall!M18)</f>
        <v/>
      </c>
      <c r="N18" s="5" t="str">
        <f>IF(ISBLANK(Overall!N18),"",Overall!N18)</f>
        <v/>
      </c>
      <c r="O18" s="5" t="str">
        <f>IF(ISBLANK(Overall!O18),"",Overall!O18)</f>
        <v/>
      </c>
      <c r="P18" s="5" t="str">
        <f>IF(ISBLANK(Overall!P18),"",Overall!P18)</f>
        <v/>
      </c>
      <c r="Q18" s="5" t="str">
        <f>IF(ISBLANK(Overall!Q18),"",Overall!Q18)</f>
        <v/>
      </c>
      <c r="R18" s="5" t="str">
        <f>IF(ISBLANK(Overall!R18),"",Overall!R18)</f>
        <v>Lifeline Homecare/Personal Care, Home Management, Escort, Chore, Respite</v>
      </c>
      <c r="S18" s="5" t="str">
        <f>IF(ISBLANK(Overall!S18),"",Overall!S18)</f>
        <v/>
      </c>
      <c r="T18" s="5" t="str">
        <f>IF(ISBLANK(Overall!T18),"",Overall!T18)</f>
        <v/>
      </c>
      <c r="U18" s="5" t="str">
        <f>IF(ISBLANK(Overall!U18),"",Overall!U18)</f>
        <v/>
      </c>
      <c r="V18" s="5" t="str">
        <f>IF(ISBLANK(Overall!V18),"",Overall!V18)</f>
        <v/>
      </c>
      <c r="W18" s="5" t="str">
        <f>IF(ISBLANK(Overall!W18),"",Overall!W18)</f>
        <v/>
      </c>
      <c r="X18" s="5" t="str">
        <f>IF(ISBLANK(Overall!X18),"",Overall!X18)</f>
        <v/>
      </c>
      <c r="Y18" s="5" t="str">
        <f>IF(ISBLANK(Overall!AC18),"",Overall!AC18)</f>
        <v/>
      </c>
    </row>
    <row r="19" spans="1:25" s="1" customFormat="1" x14ac:dyDescent="0.25">
      <c r="A19" s="109"/>
      <c r="B19" s="5" t="str">
        <f>IF(ISBLANK(Overall!B19),"",Overall!B19)</f>
        <v/>
      </c>
      <c r="C19" s="5" t="str">
        <f>IF(ISBLANK(Overall!C19),"",Overall!C19)</f>
        <v/>
      </c>
      <c r="D19" s="5" t="str">
        <f>IF(ISBLANK(Overall!D19),"",Overall!D19)</f>
        <v/>
      </c>
      <c r="E19" s="5" t="str">
        <f>IF(ISBLANK(Overall!E19),"",Overall!E19)</f>
        <v/>
      </c>
      <c r="F19" s="5" t="str">
        <f>IF(ISBLANK(Overall!F19),"",Overall!F19)</f>
        <v/>
      </c>
      <c r="G19" s="5" t="str">
        <f>IF(ISBLANK(Overall!G19),"",Overall!G19)</f>
        <v/>
      </c>
      <c r="H19" s="5" t="str">
        <f>IF(ISBLANK(Overall!H19),"",Overall!H19)</f>
        <v/>
      </c>
      <c r="I19" s="5" t="str">
        <f>IF(ISBLANK(Overall!I19),"",Overall!I19)</f>
        <v/>
      </c>
      <c r="J19" s="38" t="str">
        <f>IF(ISBLANK(Overall!J19),"",Overall!J19)</f>
        <v/>
      </c>
      <c r="K19" s="5" t="str">
        <f>IF(ISBLANK(Overall!K19),"",Overall!K19)</f>
        <v/>
      </c>
      <c r="L19" s="5" t="str">
        <f>IF(ISBLANK(Overall!L19),"",Overall!L19)</f>
        <v/>
      </c>
      <c r="M19" s="5" t="str">
        <f>IF(ISBLANK(Overall!M19),"",Overall!M19)</f>
        <v/>
      </c>
      <c r="N19" s="5" t="str">
        <f>IF(ISBLANK(Overall!N19),"",Overall!N19)</f>
        <v/>
      </c>
      <c r="O19" s="5" t="str">
        <f>IF(ISBLANK(Overall!O19),"",Overall!O19)</f>
        <v/>
      </c>
      <c r="P19" s="5" t="str">
        <f>IF(ISBLANK(Overall!P19),"",Overall!P19)</f>
        <v/>
      </c>
      <c r="Q19" s="5" t="str">
        <f>IF(ISBLANK(Overall!Q19),"",Overall!Q19)</f>
        <v/>
      </c>
      <c r="R19" s="5" t="str">
        <f>IF(ISBLANK(Overall!R19),"",Overall!R19)</f>
        <v/>
      </c>
      <c r="S19" s="5" t="str">
        <f>IF(ISBLANK(Overall!S19),"",Overall!S19)</f>
        <v/>
      </c>
      <c r="T19" s="5" t="str">
        <f>IF(ISBLANK(Overall!T19),"",Overall!T19)</f>
        <v/>
      </c>
      <c r="U19" s="5" t="str">
        <f>IF(ISBLANK(Overall!U19),"",Overall!U19)</f>
        <v/>
      </c>
      <c r="V19" s="5" t="str">
        <f>IF(ISBLANK(Overall!V19),"",Overall!V19)</f>
        <v/>
      </c>
      <c r="W19" s="5" t="str">
        <f>IF(ISBLANK(Overall!W19),"",Overall!W19)</f>
        <v/>
      </c>
      <c r="X19" s="5" t="str">
        <f>IF(ISBLANK(Overall!X19),"",Overall!X19)</f>
        <v/>
      </c>
      <c r="Y19" s="5" t="str">
        <f>IF(ISBLANK(Overall!AC19),"",Overall!AC19)</f>
        <v/>
      </c>
    </row>
    <row r="20" spans="1:25" s="1" customFormat="1" x14ac:dyDescent="0.25">
      <c r="A20" s="109"/>
      <c r="B20" s="5" t="str">
        <f>IF(ISBLANK(Overall!B20),"",Overall!B20)</f>
        <v/>
      </c>
      <c r="C20" s="5" t="str">
        <f>IF(ISBLANK(Overall!C20),"",Overall!C20)</f>
        <v/>
      </c>
      <c r="D20" s="5" t="str">
        <f>IF(ISBLANK(Overall!D20),"",Overall!D20)</f>
        <v/>
      </c>
      <c r="E20" s="5" t="str">
        <f>IF(ISBLANK(Overall!E20),"",Overall!E20)</f>
        <v/>
      </c>
      <c r="F20" s="5" t="str">
        <f>IF(ISBLANK(Overall!F20),"",Overall!F20)</f>
        <v/>
      </c>
      <c r="G20" s="5" t="str">
        <f>IF(ISBLANK(Overall!G20),"",Overall!G20)</f>
        <v/>
      </c>
      <c r="H20" s="5" t="str">
        <f>IF(ISBLANK(Overall!H20),"",Overall!H20)</f>
        <v/>
      </c>
      <c r="I20" s="5" t="str">
        <f>IF(ISBLANK(Overall!I20),"",Overall!I20)</f>
        <v/>
      </c>
      <c r="J20" s="38" t="str">
        <f>IF(ISBLANK(Overall!J20),"",Overall!J20)</f>
        <v/>
      </c>
      <c r="K20" s="5" t="str">
        <f>IF(ISBLANK(Overall!K20),"",Overall!K20)</f>
        <v/>
      </c>
      <c r="L20" s="5" t="str">
        <f>IF(ISBLANK(Overall!L20),"",Overall!L20)</f>
        <v/>
      </c>
      <c r="M20" s="5" t="str">
        <f>IF(ISBLANK(Overall!M20),"",Overall!M20)</f>
        <v/>
      </c>
      <c r="N20" s="5" t="str">
        <f>IF(ISBLANK(Overall!N20),"",Overall!N20)</f>
        <v/>
      </c>
      <c r="O20" s="5" t="str">
        <f>IF(ISBLANK(Overall!O20),"",Overall!O20)</f>
        <v/>
      </c>
      <c r="P20" s="5" t="str">
        <f>IF(ISBLANK(Overall!P20),"",Overall!P20)</f>
        <v/>
      </c>
      <c r="Q20" s="5" t="str">
        <f>IF(ISBLANK(Overall!Q20),"",Overall!Q20)</f>
        <v/>
      </c>
      <c r="R20" s="5" t="str">
        <f>IF(ISBLANK(Overall!R20),"",Overall!R20)</f>
        <v/>
      </c>
      <c r="S20" s="5" t="str">
        <f>IF(ISBLANK(Overall!S20),"",Overall!S20)</f>
        <v/>
      </c>
      <c r="T20" s="5" t="str">
        <f>IF(ISBLANK(Overall!T20),"",Overall!T20)</f>
        <v/>
      </c>
      <c r="U20" s="5" t="str">
        <f>IF(ISBLANK(Overall!U20),"",Overall!U20)</f>
        <v/>
      </c>
      <c r="V20" s="5" t="str">
        <f>IF(ISBLANK(Overall!V20),"",Overall!V20)</f>
        <v/>
      </c>
      <c r="W20" s="5" t="str">
        <f>IF(ISBLANK(Overall!W20),"",Overall!W20)</f>
        <v/>
      </c>
      <c r="X20" s="5" t="str">
        <f>IF(ISBLANK(Overall!X20),"",Overall!X20)</f>
        <v/>
      </c>
      <c r="Y20" s="5" t="str">
        <f>IF(ISBLANK(Overall!AC20),"",Overall!AC20)</f>
        <v/>
      </c>
    </row>
    <row r="21" spans="1:25" s="1" customFormat="1" x14ac:dyDescent="0.25">
      <c r="A21" s="109"/>
      <c r="B21" s="5" t="str">
        <f>IF(ISBLANK(Overall!B21),"",Overall!B21)</f>
        <v/>
      </c>
      <c r="C21" s="5" t="str">
        <f>IF(ISBLANK(Overall!C21),"",Overall!C21)</f>
        <v/>
      </c>
      <c r="D21" s="5" t="str">
        <f>IF(ISBLANK(Overall!D21),"",Overall!D21)</f>
        <v/>
      </c>
      <c r="E21" s="5" t="str">
        <f>IF(ISBLANK(Overall!E21),"",Overall!E21)</f>
        <v/>
      </c>
      <c r="F21" s="5" t="str">
        <f>IF(ISBLANK(Overall!F21),"",Overall!F21)</f>
        <v/>
      </c>
      <c r="G21" s="5" t="str">
        <f>IF(ISBLANK(Overall!G21),"",Overall!G21)</f>
        <v/>
      </c>
      <c r="H21" s="5" t="str">
        <f>IF(ISBLANK(Overall!H21),"",Overall!H21)</f>
        <v/>
      </c>
      <c r="I21" s="5" t="str">
        <f>IF(ISBLANK(Overall!I21),"",Overall!I21)</f>
        <v/>
      </c>
      <c r="J21" s="38" t="str">
        <f>IF(ISBLANK(Overall!J21),"",Overall!J21)</f>
        <v/>
      </c>
      <c r="K21" s="5" t="str">
        <f>IF(ISBLANK(Overall!K21),"",Overall!K21)</f>
        <v/>
      </c>
      <c r="L21" s="5" t="str">
        <f>IF(ISBLANK(Overall!L21),"",Overall!L21)</f>
        <v/>
      </c>
      <c r="M21" s="5" t="str">
        <f>IF(ISBLANK(Overall!M21),"",Overall!M21)</f>
        <v/>
      </c>
      <c r="N21" s="5" t="str">
        <f>IF(ISBLANK(Overall!N21),"",Overall!N21)</f>
        <v/>
      </c>
      <c r="O21" s="5" t="str">
        <f>IF(ISBLANK(Overall!O21),"",Overall!O21)</f>
        <v/>
      </c>
      <c r="P21" s="5" t="str">
        <f>IF(ISBLANK(Overall!P21),"",Overall!P21)</f>
        <v/>
      </c>
      <c r="Q21" s="5" t="str">
        <f>IF(ISBLANK(Overall!Q21),"",Overall!Q21)</f>
        <v/>
      </c>
      <c r="R21" s="5" t="str">
        <f>IF(ISBLANK(Overall!R21),"",Overall!R21)</f>
        <v/>
      </c>
      <c r="S21" s="5" t="str">
        <f>IF(ISBLANK(Overall!S21),"",Overall!S21)</f>
        <v/>
      </c>
      <c r="T21" s="5" t="str">
        <f>IF(ISBLANK(Overall!T21),"",Overall!T21)</f>
        <v/>
      </c>
      <c r="U21" s="5" t="str">
        <f>IF(ISBLANK(Overall!U21),"",Overall!U21)</f>
        <v/>
      </c>
      <c r="V21" s="5" t="str">
        <f>IF(ISBLANK(Overall!V21),"",Overall!V21)</f>
        <v/>
      </c>
      <c r="W21" s="5" t="str">
        <f>IF(ISBLANK(Overall!W21),"",Overall!W21)</f>
        <v/>
      </c>
      <c r="X21" s="5" t="str">
        <f>IF(ISBLANK(Overall!X21),"",Overall!X21)</f>
        <v/>
      </c>
      <c r="Y21" s="5" t="str">
        <f>IF(ISBLANK(Overall!AC21),"",Overall!AC21)</f>
        <v/>
      </c>
    </row>
    <row r="22" spans="1:25" s="1" customFormat="1" x14ac:dyDescent="0.25">
      <c r="A22" s="109"/>
      <c r="B22" s="5" t="str">
        <f>IF(ISBLANK(Overall!B22),"",Overall!B22)</f>
        <v/>
      </c>
      <c r="C22" s="5" t="str">
        <f>IF(ISBLANK(Overall!C22),"",Overall!C22)</f>
        <v/>
      </c>
      <c r="D22" s="5" t="str">
        <f>IF(ISBLANK(Overall!D22),"",Overall!D22)</f>
        <v/>
      </c>
      <c r="E22" s="5" t="str">
        <f>IF(ISBLANK(Overall!E22),"",Overall!E22)</f>
        <v/>
      </c>
      <c r="F22" s="5" t="str">
        <f>IF(ISBLANK(Overall!F22),"",Overall!F22)</f>
        <v/>
      </c>
      <c r="G22" s="5" t="str">
        <f>IF(ISBLANK(Overall!G22),"",Overall!G22)</f>
        <v/>
      </c>
      <c r="H22" s="5" t="str">
        <f>IF(ISBLANK(Overall!H22),"",Overall!H22)</f>
        <v/>
      </c>
      <c r="I22" s="5" t="str">
        <f>IF(ISBLANK(Overall!I22),"",Overall!I22)</f>
        <v/>
      </c>
      <c r="J22" s="38" t="str">
        <f>IF(ISBLANK(Overall!J22),"",Overall!J22)</f>
        <v/>
      </c>
      <c r="K22" s="5" t="str">
        <f>IF(ISBLANK(Overall!K22),"",Overall!K22)</f>
        <v/>
      </c>
      <c r="L22" s="5" t="str">
        <f>IF(ISBLANK(Overall!L22),"",Overall!L22)</f>
        <v/>
      </c>
      <c r="M22" s="5" t="str">
        <f>IF(ISBLANK(Overall!M22),"",Overall!M22)</f>
        <v/>
      </c>
      <c r="N22" s="5" t="str">
        <f>IF(ISBLANK(Overall!N22),"",Overall!N22)</f>
        <v/>
      </c>
      <c r="O22" s="5" t="str">
        <f>IF(ISBLANK(Overall!O22),"",Overall!O22)</f>
        <v/>
      </c>
      <c r="P22" s="5" t="str">
        <f>IF(ISBLANK(Overall!P22),"",Overall!P22)</f>
        <v/>
      </c>
      <c r="Q22" s="5" t="str">
        <f>IF(ISBLANK(Overall!Q22),"",Overall!Q22)</f>
        <v/>
      </c>
      <c r="R22" s="5" t="str">
        <f>IF(ISBLANK(Overall!R22),"",Overall!R22)</f>
        <v/>
      </c>
      <c r="S22" s="5" t="str">
        <f>IF(ISBLANK(Overall!S22),"",Overall!S22)</f>
        <v/>
      </c>
      <c r="T22" s="5" t="str">
        <f>IF(ISBLANK(Overall!T22),"",Overall!T22)</f>
        <v/>
      </c>
      <c r="U22" s="5" t="str">
        <f>IF(ISBLANK(Overall!U22),"",Overall!U22)</f>
        <v/>
      </c>
      <c r="V22" s="5" t="str">
        <f>IF(ISBLANK(Overall!V22),"",Overall!V22)</f>
        <v/>
      </c>
      <c r="W22" s="5" t="str">
        <f>IF(ISBLANK(Overall!W22),"",Overall!W22)</f>
        <v/>
      </c>
      <c r="X22" s="5" t="str">
        <f>IF(ISBLANK(Overall!X22),"",Overall!X22)</f>
        <v/>
      </c>
      <c r="Y22" s="5" t="str">
        <f>IF(ISBLANK(Overall!AC22),"",Overall!AC22)</f>
        <v/>
      </c>
    </row>
    <row r="23" spans="1:25" x14ac:dyDescent="0.25">
      <c r="A23" s="12"/>
    </row>
    <row r="24" spans="1:25" x14ac:dyDescent="0.25">
      <c r="A24" s="5" t="str">
        <f>Overall!A32</f>
        <v>Eligible Persons</v>
      </c>
      <c r="B24" s="7">
        <f>IF(ISBLANK(Overall!B32),"",Overall!B32)</f>
        <v>1242</v>
      </c>
      <c r="C24" s="7">
        <f>IF(ISBLANK(Overall!C32),"",Overall!C32)</f>
        <v>1778</v>
      </c>
      <c r="D24" s="7">
        <f>IF(ISBLANK(Overall!D32),"",Overall!D32)</f>
        <v>1323</v>
      </c>
      <c r="E24" s="7">
        <f>IF(ISBLANK(Overall!E32),"",Overall!E32)</f>
        <v>635</v>
      </c>
      <c r="F24" s="7">
        <f>IF(ISBLANK(Overall!F32),"",Overall!F32)</f>
        <v>452</v>
      </c>
      <c r="G24" s="7">
        <f>IF(ISBLANK(Overall!G32),"",Overall!G32)</f>
        <v>107</v>
      </c>
      <c r="H24" s="7">
        <f>IF(ISBLANK(Overall!H32),"",Overall!H32)</f>
        <v>1778</v>
      </c>
      <c r="I24" s="7">
        <f>IF(ISBLANK(Overall!I32),"",Overall!I32)</f>
        <v>1778</v>
      </c>
      <c r="J24" s="37">
        <f>IF(ISBLANK(Overall!J32),"",Overall!J32)</f>
        <v>1307</v>
      </c>
      <c r="K24" s="7">
        <f>IF(ISBLANK(Overall!K32),"",Overall!K32)</f>
        <v>1607</v>
      </c>
      <c r="L24" s="7" t="str">
        <f>IF(ISBLANK(Overall!L32),"",Overall!L32)</f>
        <v/>
      </c>
      <c r="M24" s="7">
        <f>IF(ISBLANK(Overall!M32),"",Overall!M32)</f>
        <v>74</v>
      </c>
      <c r="N24" s="7">
        <f>IF(ISBLANK(Overall!N32),"",Overall!N32)</f>
        <v>3061</v>
      </c>
      <c r="O24" s="7" t="str">
        <f>IF(ISBLANK(Overall!O32),"",Overall!O32)</f>
        <v/>
      </c>
      <c r="P24" s="7" t="str">
        <f>IF(ISBLANK(Overall!P32),"",Overall!P32)</f>
        <v/>
      </c>
      <c r="Q24" s="7">
        <f>IF(ISBLANK(Overall!Q32),"",Overall!Q32)</f>
        <v>1778</v>
      </c>
      <c r="R24" s="7">
        <f>IF(ISBLANK(Overall!R32),"",Overall!R32)</f>
        <v>311</v>
      </c>
      <c r="S24" s="7">
        <f>IF(ISBLANK(Overall!S32),"",Overall!S32)</f>
        <v>174</v>
      </c>
      <c r="T24" s="7">
        <f>IF(ISBLANK(Overall!T32),"",Overall!T32)</f>
        <v>5</v>
      </c>
      <c r="U24" s="7">
        <f>IF(ISBLANK(Overall!U32),"",Overall!U32)</f>
        <v>9</v>
      </c>
      <c r="V24" s="7">
        <f>IF(ISBLANK(Overall!V32),"",Overall!V32)</f>
        <v>5</v>
      </c>
      <c r="W24" s="7">
        <f>IF(ISBLANK(Overall!W32),"",Overall!W32)</f>
        <v>9</v>
      </c>
      <c r="X24" s="7">
        <f>IF(ISBLANK(Overall!X32),"",Overall!X32)</f>
        <v>0</v>
      </c>
      <c r="Y24" s="7" t="str">
        <f>IF(ISBLANK(Overall!AC32),"",Overall!AC32)</f>
        <v/>
      </c>
    </row>
    <row r="25" spans="1:25" x14ac:dyDescent="0.25">
      <c r="A25" s="5" t="str">
        <f>Overall!A33</f>
        <v># Persons Served</v>
      </c>
      <c r="B25" s="7">
        <f>IF(ISBLANK(Overall!B33),"",Overall!B33)</f>
        <v>1242</v>
      </c>
      <c r="C25" s="7">
        <f>IF(ISBLANK(Overall!C33),"",Overall!C33)</f>
        <v>462</v>
      </c>
      <c r="D25" s="7">
        <f>IF(ISBLANK(Overall!D33),"",Overall!D33)</f>
        <v>1323</v>
      </c>
      <c r="E25" s="7">
        <f>IF(ISBLANK(Overall!E33),"",Overall!E33)</f>
        <v>635</v>
      </c>
      <c r="F25" s="7">
        <f>IF(ISBLANK(Overall!F33),"",Overall!F33)</f>
        <v>452</v>
      </c>
      <c r="G25" s="7">
        <f>IF(ISBLANK(Overall!G33),"",Overall!G33)</f>
        <v>107</v>
      </c>
      <c r="H25" s="7">
        <f>IF(ISBLANK(Overall!H33),"",Overall!H33)</f>
        <v>462</v>
      </c>
      <c r="I25" s="7">
        <f>IF(ISBLANK(Overall!I33),"",Overall!I33)</f>
        <v>462</v>
      </c>
      <c r="J25" s="37">
        <f>IF(ISBLANK(Overall!J33),"",Overall!J33)</f>
        <v>1307</v>
      </c>
      <c r="K25" s="7">
        <f>IF(ISBLANK(Overall!K33),"",Overall!K33)</f>
        <v>1607</v>
      </c>
      <c r="L25" s="7" t="str">
        <f>IF(ISBLANK(Overall!L33),"",Overall!L33)</f>
        <v/>
      </c>
      <c r="M25" s="7">
        <f>IF(ISBLANK(Overall!M33),"",Overall!M33)</f>
        <v>74</v>
      </c>
      <c r="N25" s="7">
        <f>IF(ISBLANK(Overall!N33),"",Overall!N33)</f>
        <v>3061</v>
      </c>
      <c r="O25" s="7" t="str">
        <f>IF(ISBLANK(Overall!O33),"",Overall!O33)</f>
        <v/>
      </c>
      <c r="P25" s="7" t="str">
        <f>IF(ISBLANK(Overall!P33),"",Overall!P33)</f>
        <v/>
      </c>
      <c r="Q25" s="7">
        <f>IF(ISBLANK(Overall!Q33),"",Overall!Q33)</f>
        <v>462</v>
      </c>
      <c r="R25" s="7">
        <f>IF(ISBLANK(Overall!R33),"",Overall!R33)</f>
        <v>311</v>
      </c>
      <c r="S25" s="7">
        <f>IF(ISBLANK(Overall!S33),"",Overall!S33)</f>
        <v>174</v>
      </c>
      <c r="T25" s="7">
        <f>IF(ISBLANK(Overall!T33),"",Overall!T33)</f>
        <v>5</v>
      </c>
      <c r="U25" s="7">
        <f>IF(ISBLANK(Overall!U33),"",Overall!U33)</f>
        <v>9</v>
      </c>
      <c r="V25" s="7">
        <f>IF(ISBLANK(Overall!V33),"",Overall!V33)</f>
        <v>5</v>
      </c>
      <c r="W25" s="7">
        <f>IF(ISBLANK(Overall!W33),"",Overall!W33)</f>
        <v>9</v>
      </c>
      <c r="X25" s="7">
        <f>IF(ISBLANK(Overall!X33),"",Overall!X33)</f>
        <v>0</v>
      </c>
      <c r="Y25" s="7" t="str">
        <f>IF(ISBLANK(Overall!AC33),"",Overall!AC33)</f>
        <v/>
      </c>
    </row>
    <row r="26" spans="1:25" x14ac:dyDescent="0.25">
      <c r="A26" s="5" t="str">
        <f>Overall!A35</f>
        <v># People on Waiting List</v>
      </c>
      <c r="B26" s="7">
        <f>IF(ISBLANK(Overall!B35),"",Overall!B35)</f>
        <v>59</v>
      </c>
      <c r="C26" s="7" t="str">
        <f>IF(ISBLANK(Overall!C35),"",Overall!C35)</f>
        <v/>
      </c>
      <c r="D26" s="7" t="str">
        <f>IF(ISBLANK(Overall!D35),"",Overall!D35)</f>
        <v/>
      </c>
      <c r="E26" s="7">
        <f>IF(ISBLANK(Overall!E35),"",Overall!E35)</f>
        <v>93</v>
      </c>
      <c r="F26" s="7">
        <f>IF(ISBLANK(Overall!F35),"",Overall!F35)</f>
        <v>0</v>
      </c>
      <c r="G26" s="7">
        <f>IF(ISBLANK(Overall!G35),"",Overall!G35)</f>
        <v>0</v>
      </c>
      <c r="H26" s="7" t="str">
        <f>IF(ISBLANK(Overall!H35),"",Overall!H35)</f>
        <v/>
      </c>
      <c r="I26" s="7" t="str">
        <f>IF(ISBLANK(Overall!I35),"",Overall!I35)</f>
        <v/>
      </c>
      <c r="J26" s="37">
        <f>IF(ISBLANK(Overall!J35),"",Overall!J35)</f>
        <v>0</v>
      </c>
      <c r="K26" s="7">
        <f>IF(ISBLANK(Overall!K35),"",Overall!K35)</f>
        <v>0</v>
      </c>
      <c r="L26" s="7" t="str">
        <f>IF(ISBLANK(Overall!L35),"",Overall!L35)</f>
        <v/>
      </c>
      <c r="M26" s="7">
        <f>IF(ISBLANK(Overall!M35),"",Overall!M35)</f>
        <v>0</v>
      </c>
      <c r="N26" s="7">
        <f>IF(ISBLANK(Overall!N35),"",Overall!N35)</f>
        <v>0</v>
      </c>
      <c r="O26" s="7" t="str">
        <f>IF(ISBLANK(Overall!O35),"",Overall!O35)</f>
        <v/>
      </c>
      <c r="P26" s="7" t="str">
        <f>IF(ISBLANK(Overall!P35),"",Overall!P35)</f>
        <v/>
      </c>
      <c r="Q26" s="7" t="str">
        <f>IF(ISBLANK(Overall!Q35),"",Overall!Q35)</f>
        <v/>
      </c>
      <c r="R26" s="7">
        <f>IF(ISBLANK(Overall!R35),"",Overall!R35)</f>
        <v>62</v>
      </c>
      <c r="S26" s="7">
        <f>IF(ISBLANK(Overall!S35),"",Overall!S35)</f>
        <v>0</v>
      </c>
      <c r="T26" s="7">
        <f>IF(ISBLANK(Overall!T35),"",Overall!T35)</f>
        <v>0</v>
      </c>
      <c r="U26" s="7">
        <f>IF(ISBLANK(Overall!U35),"",Overall!U35)</f>
        <v>0</v>
      </c>
      <c r="V26" s="7">
        <f>IF(ISBLANK(Overall!V35),"",Overall!V35)</f>
        <v>0</v>
      </c>
      <c r="W26" s="7">
        <f>IF(ISBLANK(Overall!W35),"",Overall!W35)</f>
        <v>0</v>
      </c>
      <c r="X26" s="7" t="str">
        <f>IF(ISBLANK(Overall!X35),"",Overall!X35)</f>
        <v/>
      </c>
      <c r="Y26" s="7" t="str">
        <f>IF(ISBLANK(Overall!AC35),"",Overall!AC35)</f>
        <v/>
      </c>
    </row>
    <row r="28" spans="1:25" s="1" customFormat="1" ht="41.45" customHeight="1" x14ac:dyDescent="0.25">
      <c r="A28" s="5" t="str">
        <f>Overall!A37</f>
        <v>Performance Measures</v>
      </c>
      <c r="B28" s="5" t="str">
        <f>IF(ISBLANK(Overall!B37),"",Overall!B37)</f>
        <v>See Master Performance Measure Binder</v>
      </c>
      <c r="C28" s="5" t="str">
        <f>IF(ISBLANK(Overall!C37),"",Overall!C37)</f>
        <v>See Master Performance Measure Binder</v>
      </c>
      <c r="D28" s="5" t="str">
        <f>IF(ISBLANK(Overall!D37),"",Overall!D37)</f>
        <v>See Master Performance Measure Binder</v>
      </c>
      <c r="E28" s="5" t="str">
        <f>IF(ISBLANK(Overall!E37),"",Overall!E37)</f>
        <v>See Master Performance Measure Binder</v>
      </c>
      <c r="F28" s="5" t="str">
        <f>IF(ISBLANK(Overall!F37),"",Overall!F37)</f>
        <v>See Master Performance Measure Binder</v>
      </c>
      <c r="G28" s="5" t="str">
        <f>IF(ISBLANK(Overall!G37),"",Overall!G37)</f>
        <v>See Master Performance Measure Binder</v>
      </c>
      <c r="H28" s="5" t="str">
        <f>IF(ISBLANK(Overall!H37),"",Overall!H37)</f>
        <v>See Master Performance Measure Binder</v>
      </c>
      <c r="I28" s="5" t="str">
        <f>IF(ISBLANK(Overall!I37),"",Overall!I37)</f>
        <v>See Master Performance Measure Binder</v>
      </c>
      <c r="J28" s="38" t="str">
        <f>IF(ISBLANK(Overall!J37),"",Overall!J37)</f>
        <v>See Master Performance Measure Binder</v>
      </c>
      <c r="K28" s="5" t="str">
        <f>IF(ISBLANK(Overall!K37),"",Overall!K37)</f>
        <v>See Master Performance Measure Binder</v>
      </c>
      <c r="L28" s="5" t="str">
        <f>IF(ISBLANK(Overall!L37),"",Overall!L37)</f>
        <v>See Master Performance Measure Binder</v>
      </c>
      <c r="M28" s="5" t="str">
        <f>IF(ISBLANK(Overall!M37),"",Overall!M37)</f>
        <v>See Master Performance Measure Binder</v>
      </c>
      <c r="N28" s="5" t="str">
        <f>IF(ISBLANK(Overall!N37),"",Overall!N37)</f>
        <v>See Master Performance Measure Binder</v>
      </c>
      <c r="O28" s="5" t="str">
        <f>IF(ISBLANK(Overall!O37),"",Overall!O37)</f>
        <v>See Master Performance Measure Binder</v>
      </c>
      <c r="P28" s="5" t="str">
        <f>IF(ISBLANK(Overall!P37),"",Overall!P37)</f>
        <v>See Master Performance Measure Binder</v>
      </c>
      <c r="Q28" s="5" t="str">
        <f>IF(ISBLANK(Overall!Q37),"",Overall!Q37)</f>
        <v>See Master Performance Measure Binder</v>
      </c>
      <c r="R28" s="5" t="str">
        <f>IF(ISBLANK(Overall!R37),"",Overall!R37)</f>
        <v>See Master Performance Measure Binder</v>
      </c>
      <c r="S28" s="5" t="str">
        <f>IF(ISBLANK(Overall!S37),"",Overall!S37)</f>
        <v>See Master Performance Measure Binder</v>
      </c>
      <c r="T28" s="5" t="str">
        <f>IF(ISBLANK(Overall!T37),"",Overall!T37)</f>
        <v>See Master Performance Measure Binder</v>
      </c>
      <c r="U28" s="5" t="str">
        <f>IF(ISBLANK(Overall!U37),"",Overall!U37)</f>
        <v>See Master Performance Measure Binder</v>
      </c>
      <c r="V28" s="5" t="str">
        <f>IF(ISBLANK(Overall!V37),"",Overall!V37)</f>
        <v>See Master Performance Measure Binder</v>
      </c>
      <c r="W28" s="5" t="str">
        <f>IF(ISBLANK(Overall!W37),"",Overall!W37)</f>
        <v>See Master Performance Measure Binder</v>
      </c>
      <c r="X28" s="5" t="str">
        <f>IF(ISBLANK(Overall!X37),"",Overall!X37)</f>
        <v>See Master Performance Measure Binder</v>
      </c>
      <c r="Y28" s="5" t="str">
        <f>IF(ISBLANK(Overall!AC37),"",Overall!AC37)</f>
        <v>See Master Performance Measure Binder</v>
      </c>
    </row>
  </sheetData>
  <mergeCells count="1">
    <mergeCell ref="A18:A22"/>
  </mergeCells>
  <pageMargins left="0.25" right="0.25" top="1.25" bottom="0.5" header="0.3" footer="0.3"/>
  <pageSetup paperSize="8" scale="36" orientation="landscape" r:id="rId1"/>
  <headerFooter>
    <oddHeader xml:space="preserve">&amp;CLake Cumberland Area Development District
FY 2023  
KRS 147a.115 Report
</oddHead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J36"/>
  <sheetViews>
    <sheetView topLeftCell="A17" zoomScale="90" zoomScaleNormal="90" workbookViewId="0">
      <selection activeCell="B32" sqref="B32:F33"/>
    </sheetView>
  </sheetViews>
  <sheetFormatPr defaultColWidth="8.85546875" defaultRowHeight="15" x14ac:dyDescent="0.25"/>
  <cols>
    <col min="1" max="1" width="30.5703125" style="1" customWidth="1"/>
    <col min="2" max="2" width="22.42578125" customWidth="1"/>
    <col min="3" max="4" width="26.42578125" customWidth="1"/>
    <col min="5" max="5" width="38.140625" bestFit="1" customWidth="1"/>
    <col min="6" max="6" width="38.140625" customWidth="1"/>
    <col min="7" max="7" width="41.85546875" bestFit="1" customWidth="1"/>
    <col min="8" max="8" width="41.85546875" customWidth="1"/>
    <col min="9" max="10" width="41.85546875" bestFit="1" customWidth="1"/>
  </cols>
  <sheetData>
    <row r="3" spans="1:10" s="14" customFormat="1" ht="30.95" customHeight="1" x14ac:dyDescent="0.25">
      <c r="A3" s="3"/>
      <c r="B3" s="3" t="str">
        <f>Overall!AO3</f>
        <v>WIOA Adult</v>
      </c>
      <c r="C3" s="3" t="str">
        <f>Overall!AP3</f>
        <v>WIOA Dislocated Worker</v>
      </c>
      <c r="D3" s="3" t="str">
        <f>Overall!AQ3</f>
        <v>WIOA Youth</v>
      </c>
      <c r="E3" s="3" t="str">
        <f>Overall!AR3</f>
        <v>TRADE Adjustment Assistance</v>
      </c>
      <c r="F3" s="61" t="str">
        <f>Overall!AS3</f>
        <v>WIOA NDWG</v>
      </c>
      <c r="G3" s="44"/>
      <c r="H3" s="58"/>
      <c r="I3" s="44">
        <f>Overall!AV3</f>
        <v>0</v>
      </c>
      <c r="J3" s="44"/>
    </row>
    <row r="4" spans="1:10" s="13" customFormat="1" x14ac:dyDescent="0.25">
      <c r="A4" s="28" t="str">
        <f>Overall!A4</f>
        <v>Grant Award</v>
      </c>
      <c r="B4" s="4">
        <v>719988.6</v>
      </c>
      <c r="C4" s="4">
        <v>633672.59</v>
      </c>
      <c r="D4" s="4">
        <v>1320554.23</v>
      </c>
      <c r="E4" s="4" t="str">
        <f>IF(ISBLANK(Overall!AR4),"", Overall!AR4)</f>
        <v/>
      </c>
      <c r="F4" s="4">
        <v>300000</v>
      </c>
      <c r="G4" s="4" t="str">
        <f>IF(ISBLANK(Overall!AT4),"", Overall!AT4)</f>
        <v/>
      </c>
      <c r="H4" s="4" t="str">
        <f>IF(ISBLANK(Overall!AU4),"", Overall!AU4)</f>
        <v/>
      </c>
      <c r="I4" s="4" t="str">
        <f>IF(ISBLANK(Overall!AV4),"", Overall!AV4)</f>
        <v/>
      </c>
      <c r="J4" s="4" t="str">
        <f>IF(ISBLANK(Overall!AW4),"", Overall!AW4)</f>
        <v/>
      </c>
    </row>
    <row r="5" spans="1:10" s="13" customFormat="1" x14ac:dyDescent="0.25">
      <c r="A5" s="28" t="str">
        <f>Overall!A5</f>
        <v>Local Funds (Match or applied)</v>
      </c>
      <c r="B5" s="4" t="str">
        <f>IF(ISBLANK(Overall!AO5),"", Overall!AO5)</f>
        <v/>
      </c>
      <c r="C5" s="4" t="str">
        <f>IF(ISBLANK(Overall!AP5),"", Overall!AP5)</f>
        <v/>
      </c>
      <c r="D5" s="4" t="str">
        <f>IF(ISBLANK(Overall!AQ5),"", Overall!AQ5)</f>
        <v/>
      </c>
      <c r="E5" s="4" t="str">
        <f>IF(ISBLANK(Overall!AR5),"", Overall!AR5)</f>
        <v/>
      </c>
      <c r="F5" s="4" t="str">
        <f>IF(ISBLANK(Overall!AS5),"", Overall!AS5)</f>
        <v/>
      </c>
      <c r="G5" s="4" t="str">
        <f>IF(ISBLANK(Overall!AT5),"", Overall!AT5)</f>
        <v/>
      </c>
      <c r="H5" s="4" t="str">
        <f>IF(ISBLANK(Overall!AU5),"", Overall!AU5)</f>
        <v/>
      </c>
      <c r="I5" s="4" t="str">
        <f>IF(ISBLANK(Overall!AV5),"", Overall!AV5)</f>
        <v/>
      </c>
      <c r="J5" s="4" t="str">
        <f>IF(ISBLANK(Overall!AW5),"", Overall!AW5)</f>
        <v/>
      </c>
    </row>
    <row r="6" spans="1:10" s="13" customFormat="1" x14ac:dyDescent="0.25">
      <c r="A6" s="28" t="str">
        <f>Overall!A6</f>
        <v>Total Grant Funds</v>
      </c>
      <c r="B6" s="4">
        <v>719988.6</v>
      </c>
      <c r="C6" s="4">
        <v>633672.59</v>
      </c>
      <c r="D6" s="4">
        <v>1320554.23</v>
      </c>
      <c r="E6" s="4">
        <f>IF(ISBLANK(Overall!AR6),"", Overall!AR6)</f>
        <v>0</v>
      </c>
      <c r="F6" s="4">
        <v>300000</v>
      </c>
      <c r="G6" s="4">
        <f>IF(ISBLANK(Overall!AT6),"", Overall!AT6)</f>
        <v>0</v>
      </c>
      <c r="H6" s="4">
        <f>IF(ISBLANK(Overall!AU6),"", Overall!AU6)</f>
        <v>0</v>
      </c>
      <c r="I6" s="4">
        <f>IF(ISBLANK(Overall!AV6),"", Overall!AV6)</f>
        <v>0</v>
      </c>
      <c r="J6" s="4">
        <f>IF(ISBLANK(Overall!AW6),"", Overall!AW6)</f>
        <v>0</v>
      </c>
    </row>
    <row r="7" spans="1:10" s="13" customFormat="1" x14ac:dyDescent="0.25">
      <c r="A7" s="28" t="str">
        <f>Overall!A7</f>
        <v>Administrative Costs</v>
      </c>
      <c r="B7" s="4">
        <v>55602.8</v>
      </c>
      <c r="C7" s="4">
        <v>53827.53</v>
      </c>
      <c r="D7" s="4">
        <v>12321.21</v>
      </c>
      <c r="E7" s="4" t="str">
        <f>IF(ISBLANK(Overall!AR7),"", Overall!AR7)</f>
        <v/>
      </c>
      <c r="F7" s="4">
        <v>18537.52</v>
      </c>
      <c r="G7" s="4" t="str">
        <f>IF(ISBLANK(Overall!AT7),"", Overall!AT7)</f>
        <v/>
      </c>
      <c r="H7" s="4" t="str">
        <f>IF(ISBLANK(Overall!AU7),"", Overall!AU7)</f>
        <v/>
      </c>
      <c r="I7" s="4" t="str">
        <f>IF(ISBLANK(Overall!AV7),"", Overall!AV7)</f>
        <v/>
      </c>
      <c r="J7" s="4" t="str">
        <f>IF(ISBLANK(Overall!AW7),"", Overall!AW7)</f>
        <v/>
      </c>
    </row>
    <row r="8" spans="1:10" s="27" customFormat="1" x14ac:dyDescent="0.25">
      <c r="A8" s="28" t="str">
        <f>Overall!A8</f>
        <v>% of Admin Cost</v>
      </c>
      <c r="B8" s="30">
        <f>IF(ISBLANK(Overall!AO8),"", Overall!AO8)</f>
        <v>7.7227333877230839E-2</v>
      </c>
      <c r="C8" s="30">
        <f>IF(ISBLANK(Overall!AP8),"", Overall!AP8)</f>
        <v>8.494533430900017E-2</v>
      </c>
      <c r="D8" s="30">
        <f>IF(ISBLANK(Overall!AQ8),"", Overall!AQ8)</f>
        <v>9.3303324619996852E-3</v>
      </c>
      <c r="E8" s="30" t="e">
        <f>IF(ISBLANK(Overall!AR8),"", Overall!AR8)</f>
        <v>#VALUE!</v>
      </c>
      <c r="F8" s="30">
        <f>IF(ISBLANK(Overall!AS8),"", Overall!AS8)</f>
        <v>6.1791733333333335E-2</v>
      </c>
      <c r="G8" s="30" t="e">
        <f>IF(ISBLANK(Overall!AT8),"", Overall!AT8)</f>
        <v>#DIV/0!</v>
      </c>
      <c r="H8" s="30" t="e">
        <f>IF(ISBLANK(Overall!AU8),"", Overall!AU8)</f>
        <v>#DIV/0!</v>
      </c>
      <c r="I8" s="30" t="e">
        <f>IF(ISBLANK(Overall!AV8),"", Overall!AV8)</f>
        <v>#DIV/0!</v>
      </c>
      <c r="J8" s="30" t="e">
        <f>IF(ISBLANK(Overall!AW8),"", Overall!AW8)</f>
        <v>#DIV/0!</v>
      </c>
    </row>
    <row r="9" spans="1:10" s="13" customFormat="1" x14ac:dyDescent="0.25">
      <c r="A9" s="28" t="str">
        <f>Overall!A9</f>
        <v>Direct Expenditures</v>
      </c>
      <c r="B9" s="4">
        <v>546595.06999999995</v>
      </c>
      <c r="C9" s="4">
        <v>492157.84</v>
      </c>
      <c r="D9" s="4">
        <v>536469.41</v>
      </c>
      <c r="E9" s="4" t="str">
        <f>IF(ISBLANK(Overall!AR9),"", Overall!AR9)</f>
        <v/>
      </c>
      <c r="F9" s="4">
        <v>165727.89000000001</v>
      </c>
      <c r="G9" s="4" t="str">
        <f>IF(ISBLANK(Overall!AT9),"", Overall!AT9)</f>
        <v/>
      </c>
      <c r="H9" s="4" t="str">
        <f>IF(ISBLANK(Overall!AU9),"", Overall!AU9)</f>
        <v/>
      </c>
      <c r="I9" s="4" t="str">
        <f>IF(ISBLANK(Overall!AV9),"", Overall!AV9)</f>
        <v/>
      </c>
      <c r="J9" s="4" t="str">
        <f>IF(ISBLANK(Overall!AW9),"", Overall!AW9)</f>
        <v/>
      </c>
    </row>
    <row r="10" spans="1:10" s="27" customFormat="1" x14ac:dyDescent="0.25">
      <c r="A10" s="28" t="str">
        <f>Overall!A10</f>
        <v>% of Direct Expenditures</v>
      </c>
      <c r="B10" s="30">
        <f>IF(ISBLANK(Overall!AO10),"", Overall!AO10)</f>
        <v>0.75917183966523905</v>
      </c>
      <c r="C10" s="30">
        <f>IF(ISBLANK(Overall!AP10),"", Overall!AP10)</f>
        <v>0.7766752858917253</v>
      </c>
      <c r="D10" s="30">
        <f>IF(ISBLANK(Overall!AQ10),"", Overall!AQ10)</f>
        <v>0.40624564884397063</v>
      </c>
      <c r="E10" s="30" t="e">
        <f>IF(ISBLANK(Overall!AR10),"", Overall!AR10)</f>
        <v>#VALUE!</v>
      </c>
      <c r="F10" s="30">
        <f>IF(ISBLANK(Overall!AS10),"", Overall!AS10)</f>
        <v>0.55242630000000004</v>
      </c>
      <c r="G10" s="30" t="e">
        <f>IF(ISBLANK(Overall!AT10),"", Overall!AT10)</f>
        <v>#DIV/0!</v>
      </c>
      <c r="H10" s="30" t="e">
        <f>IF(ISBLANK(Overall!AU10),"", Overall!AU10)</f>
        <v>#DIV/0!</v>
      </c>
      <c r="I10" s="30" t="e">
        <f>IF(ISBLANK(Overall!AV10),"", Overall!AV10)</f>
        <v>#DIV/0!</v>
      </c>
      <c r="J10" s="30" t="e">
        <f>IF(ISBLANK(Overall!AW10),"", Overall!AW10)</f>
        <v>#DIV/0!</v>
      </c>
    </row>
    <row r="11" spans="1:10" s="13" customFormat="1" x14ac:dyDescent="0.25">
      <c r="A11" s="28" t="str">
        <f>Overall!A11</f>
        <v>Indirect Expenditures</v>
      </c>
      <c r="B11" s="4">
        <v>92366.25</v>
      </c>
      <c r="C11" s="4">
        <v>71878.960000000006</v>
      </c>
      <c r="D11" s="4">
        <v>96690.84</v>
      </c>
      <c r="E11" s="4" t="str">
        <f>IF(ISBLANK(Overall!AR11),"", Overall!AR11)</f>
        <v/>
      </c>
      <c r="F11" s="4">
        <v>3930.59</v>
      </c>
      <c r="G11" s="4" t="str">
        <f>IF(ISBLANK(Overall!AT11),"", Overall!AT11)</f>
        <v/>
      </c>
      <c r="H11" s="4" t="str">
        <f>IF(ISBLANK(Overall!AU11),"", Overall!AU11)</f>
        <v/>
      </c>
      <c r="I11" s="4" t="str">
        <f>IF(ISBLANK(Overall!AV11),"", Overall!AV11)</f>
        <v/>
      </c>
      <c r="J11" s="4" t="str">
        <f>IF(ISBLANK(Overall!AW11),"", Overall!AW11)</f>
        <v/>
      </c>
    </row>
    <row r="12" spans="1:10" s="27" customFormat="1" x14ac:dyDescent="0.25">
      <c r="A12" s="28" t="str">
        <f>Overall!A12</f>
        <v>% of Indirect Expenditures</v>
      </c>
      <c r="B12" s="30">
        <f>IF(ISBLANK(Overall!AO12),"", Overall!AO12)</f>
        <v>0.12828848956775149</v>
      </c>
      <c r="C12" s="30">
        <f>IF(ISBLANK(Overall!AP12),"", Overall!AP12)</f>
        <v>0.11343233261833215</v>
      </c>
      <c r="D12" s="30">
        <f>IF(ISBLANK(Overall!AQ12),"", Overall!AQ12)</f>
        <v>7.3219893438227074E-2</v>
      </c>
      <c r="E12" s="30" t="e">
        <f>IF(ISBLANK(Overall!AR12),"", Overall!AR12)</f>
        <v>#VALUE!</v>
      </c>
      <c r="F12" s="30">
        <f>IF(ISBLANK(Overall!AS12),"", Overall!AS12)</f>
        <v>1.3101966666666668E-2</v>
      </c>
      <c r="G12" s="30" t="e">
        <f>IF(ISBLANK(Overall!AT12),"", Overall!AT12)</f>
        <v>#DIV/0!</v>
      </c>
      <c r="H12" s="30" t="e">
        <f>IF(ISBLANK(Overall!AU12),"", Overall!AU12)</f>
        <v>#DIV/0!</v>
      </c>
      <c r="I12" s="30" t="e">
        <f>IF(ISBLANK(Overall!AV12),"", Overall!AV12)</f>
        <v>#DIV/0!</v>
      </c>
      <c r="J12" s="30" t="e">
        <f>IF(ISBLANK(Overall!AW12),"", Overall!AW12)</f>
        <v>#DIV/0!</v>
      </c>
    </row>
    <row r="13" spans="1:10" s="13" customFormat="1" x14ac:dyDescent="0.25">
      <c r="A13" s="28" t="str">
        <f>Overall!A13</f>
        <v>Unexpended Funds</v>
      </c>
      <c r="B13" s="4">
        <v>25424.48</v>
      </c>
      <c r="C13" s="4">
        <v>15808.26</v>
      </c>
      <c r="D13" s="4">
        <v>675072.77</v>
      </c>
      <c r="E13" s="4">
        <f>IF(ISBLANK(Overall!AR13),"", Overall!AR13)</f>
        <v>0</v>
      </c>
      <c r="F13" s="4">
        <v>111804</v>
      </c>
      <c r="G13" s="4">
        <f>IF(ISBLANK(Overall!AT13),"", Overall!AT13)</f>
        <v>0</v>
      </c>
      <c r="H13" s="4">
        <f>IF(ISBLANK(Overall!AU13),"", Overall!AU13)</f>
        <v>0</v>
      </c>
      <c r="I13" s="4">
        <f>IF(ISBLANK(Overall!AV13),"", Overall!AV13)</f>
        <v>0</v>
      </c>
      <c r="J13" s="4">
        <f>IF(ISBLANK(Overall!AW13),"", Overall!AW13)</f>
        <v>0</v>
      </c>
    </row>
    <row r="14" spans="1:10" ht="30" x14ac:dyDescent="0.25">
      <c r="A14" s="28" t="str">
        <f>Overall!A14</f>
        <v>Explanation of Unexpended Funds</v>
      </c>
      <c r="B14" s="3" t="str">
        <f>IF(ISBLANK(Overall!AO14),"", Overall!AO14)</f>
        <v>Multi-year Obligated Funds</v>
      </c>
      <c r="C14" s="3" t="str">
        <f>IF(ISBLANK(Overall!AP14),"", Overall!AP14)</f>
        <v>Multi-year Obligated Funds</v>
      </c>
      <c r="D14" s="3" t="str">
        <f>IF(ISBLANK(Overall!AQ14),"", Overall!AQ14)</f>
        <v>Multi-year Obligated Funds</v>
      </c>
      <c r="E14" s="3" t="str">
        <f>IF(ISBLANK(Overall!AR14),"", Overall!AR14)</f>
        <v>Multi-year Obligated Funds</v>
      </c>
      <c r="F14" s="61" t="str">
        <f>IF(ISBLANK(Overall!AS14),"", Overall!AS14)</f>
        <v>Multi-year Obligated Funds</v>
      </c>
      <c r="G14" s="44" t="str">
        <f>IF(ISBLANK(Overall!AT14),"", Overall!AT14)</f>
        <v/>
      </c>
      <c r="H14" s="58" t="str">
        <f>IF(ISBLANK(Overall!AU14),"", Overall!AU14)</f>
        <v/>
      </c>
      <c r="I14" s="44" t="str">
        <f>IF(ISBLANK(Overall!AV14),"", Overall!AV14)</f>
        <v/>
      </c>
      <c r="J14" s="44" t="str">
        <f>IF(ISBLANK(Overall!AW14),"", Overall!AW14)</f>
        <v/>
      </c>
    </row>
    <row r="15" spans="1:10" x14ac:dyDescent="0.25">
      <c r="B15" s="2"/>
      <c r="C15" s="2"/>
      <c r="D15" s="2"/>
      <c r="E15" s="2"/>
      <c r="F15" s="2"/>
      <c r="G15" s="2"/>
      <c r="H15" s="2"/>
      <c r="I15" s="2"/>
      <c r="J15" s="2"/>
    </row>
    <row r="16" spans="1:10" ht="127.35" customHeight="1" x14ac:dyDescent="0.25">
      <c r="A16" s="5" t="str">
        <f>Overall!A16</f>
        <v>List of Direct Services provided by ADD</v>
      </c>
      <c r="B16" s="3" t="str">
        <f>IF(ISBLANK(Overall!AO16),"", Overall!AO16)</f>
        <v>Assessment, Eligibility, Case Management, Business Services, Career and Training, Follow Up</v>
      </c>
      <c r="C16" s="3" t="str">
        <f>IF(ISBLANK(Overall!AP16),"", Overall!AP16)</f>
        <v>Assessment, Eligibility, Case Management, Business Services, Career and  Training, Follow Up</v>
      </c>
      <c r="D16" s="3" t="str">
        <f>IF(ISBLANK(Overall!AQ16),"", Overall!AQ16)</f>
        <v>Assessment, Eligibility, Case Management, Business Services, Career and Training, Follow Up</v>
      </c>
      <c r="E16" s="3" t="str">
        <f>IF(ISBLANK(Overall!AR16),"", Overall!AR16)</f>
        <v>Assessment, Eligibility, Case Management, Business Services, Career and Training, Follow Up</v>
      </c>
      <c r="F16" s="61" t="str">
        <f>IF(ISBLANK(Overall!AS16),"", Overall!AS16)</f>
        <v>Assessment, Eligibility, Case Management, Business Services, Career and Training, Follow Up</v>
      </c>
      <c r="G16" s="44" t="str">
        <f>IF(ISBLANK(Overall!AT16),"", Overall!AT16)</f>
        <v/>
      </c>
      <c r="H16" s="58" t="str">
        <f>IF(ISBLANK(Overall!AU16),"", Overall!AU16)</f>
        <v/>
      </c>
      <c r="I16" s="44" t="str">
        <f>IF(ISBLANK(Overall!AV16),"", Overall!AV16)</f>
        <v/>
      </c>
      <c r="J16" s="44" t="str">
        <f>IF(ISBLANK(Overall!AW16),"", Overall!AW16)</f>
        <v/>
      </c>
    </row>
    <row r="17" spans="1:10" x14ac:dyDescent="0.25">
      <c r="A17" s="10"/>
      <c r="B17" s="2"/>
      <c r="C17" s="2"/>
      <c r="D17" s="2"/>
      <c r="E17" s="2"/>
      <c r="F17" s="2"/>
      <c r="G17" s="2"/>
      <c r="H17" s="2"/>
      <c r="I17" s="2"/>
      <c r="J17" s="2"/>
    </row>
    <row r="18" spans="1:10" ht="41.45" customHeight="1" x14ac:dyDescent="0.25">
      <c r="A18" s="109" t="str">
        <f>Overall!A18</f>
        <v>Direct Service Providers/Contractors Contracted by ADD and services provided</v>
      </c>
      <c r="B18" s="3" t="str">
        <f>IF(ISBLANK(Overall!AO18),"", Overall!AO18)</f>
        <v>Cumberland Valley ADD Case Management</v>
      </c>
      <c r="C18" s="3" t="str">
        <f>IF(ISBLANK(Overall!AP18),"", Overall!AP18)</f>
        <v>Cumberland Valley ADD Case Management</v>
      </c>
      <c r="D18" s="3" t="str">
        <f>IF(ISBLANK(Overall!AQ18),"", Overall!AQ18)</f>
        <v>Cumberland Valley ADD Case Management</v>
      </c>
      <c r="E18" s="3" t="str">
        <f>IF(ISBLANK(Overall!AR18),"", Overall!AR18)</f>
        <v/>
      </c>
      <c r="F18" s="61" t="str">
        <f>IF(ISBLANK(Overall!AS18),"", Overall!AS18)</f>
        <v/>
      </c>
      <c r="G18" s="44"/>
      <c r="H18" s="58"/>
      <c r="I18" s="44"/>
      <c r="J18" s="44"/>
    </row>
    <row r="19" spans="1:10" x14ac:dyDescent="0.25">
      <c r="A19" s="109"/>
      <c r="B19" s="3" t="str">
        <f>IF(ISBLANK(Overall!AO19),"", Overall!AO19)</f>
        <v>LCADD</v>
      </c>
      <c r="C19" s="3" t="str">
        <f>IF(ISBLANK(Overall!AP19),"", Overall!AP19)</f>
        <v>LCADD</v>
      </c>
      <c r="D19" s="3" t="str">
        <f>IF(ISBLANK(Overall!AQ19),"", Overall!AQ19)</f>
        <v>LCADD</v>
      </c>
      <c r="E19" s="3" t="str">
        <f>IF(ISBLANK(Overall!AR19),"", Overall!AR19)</f>
        <v>LCADD</v>
      </c>
      <c r="F19" s="61" t="str">
        <f>IF(ISBLANK(Overall!AS19),"", Overall!AS19)</f>
        <v>LCADD</v>
      </c>
      <c r="G19" s="44"/>
      <c r="H19" s="58"/>
      <c r="I19" s="44"/>
      <c r="J19" s="44"/>
    </row>
    <row r="20" spans="1:10" x14ac:dyDescent="0.25">
      <c r="A20" s="109"/>
      <c r="B20" s="3" t="str">
        <f>IF(ISBLANK(Overall!AO20),"", Overall!AO20)</f>
        <v/>
      </c>
      <c r="C20" s="3" t="str">
        <f>IF(ISBLANK(Overall!AP20),"", Overall!AP20)</f>
        <v/>
      </c>
      <c r="D20" s="3" t="str">
        <f>IF(ISBLANK(Overall!AQ20),"", Overall!AQ20)</f>
        <v/>
      </c>
      <c r="E20" s="3" t="str">
        <f>IF(ISBLANK(Overall!AR20),"", Overall!AR20)</f>
        <v/>
      </c>
      <c r="F20" s="61" t="str">
        <f>IF(ISBLANK(Overall!AS20),"", Overall!AS20)</f>
        <v/>
      </c>
      <c r="G20" s="44" t="str">
        <f>IF(ISBLANK(Overall!AT20),"", Overall!AT20)</f>
        <v/>
      </c>
      <c r="H20" s="58" t="str">
        <f>IF(ISBLANK(Overall!AU20),"", Overall!AU20)</f>
        <v/>
      </c>
      <c r="I20" s="44" t="str">
        <f>IF(ISBLANK(Overall!AV20),"", Overall!AV20)</f>
        <v/>
      </c>
      <c r="J20" s="44" t="str">
        <f>IF(ISBLANK(Overall!AW20),"", Overall!AW20)</f>
        <v/>
      </c>
    </row>
    <row r="21" spans="1:10" x14ac:dyDescent="0.25">
      <c r="A21" s="109"/>
      <c r="B21" s="3" t="str">
        <f>IF(ISBLANK(Overall!AO21),"", Overall!AO21)</f>
        <v/>
      </c>
      <c r="C21" s="3" t="str">
        <f>IF(ISBLANK(Overall!AP21),"", Overall!AP21)</f>
        <v/>
      </c>
      <c r="D21" s="3" t="str">
        <f>IF(ISBLANK(Overall!AQ21),"", Overall!AQ21)</f>
        <v/>
      </c>
      <c r="E21" s="3" t="str">
        <f>IF(ISBLANK(Overall!AR21),"", Overall!AR21)</f>
        <v/>
      </c>
      <c r="F21" s="61" t="str">
        <f>IF(ISBLANK(Overall!AS21),"", Overall!AS21)</f>
        <v/>
      </c>
      <c r="G21" s="44" t="str">
        <f>IF(ISBLANK(Overall!AT21),"", Overall!AT21)</f>
        <v/>
      </c>
      <c r="H21" s="58" t="str">
        <f>IF(ISBLANK(Overall!AU21),"", Overall!AU21)</f>
        <v/>
      </c>
      <c r="I21" s="44" t="str">
        <f>IF(ISBLANK(Overall!AV21),"", Overall!AV21)</f>
        <v/>
      </c>
      <c r="J21" s="44" t="str">
        <f>IF(ISBLANK(Overall!AW21),"", Overall!AW21)</f>
        <v/>
      </c>
    </row>
    <row r="22" spans="1:10" x14ac:dyDescent="0.25">
      <c r="A22" s="109"/>
      <c r="B22" s="3" t="str">
        <f>IF(ISBLANK(Overall!AO22),"", Overall!AO22)</f>
        <v/>
      </c>
      <c r="C22" s="3" t="str">
        <f>IF(ISBLANK(Overall!AP22),"", Overall!AP22)</f>
        <v/>
      </c>
      <c r="D22" s="3" t="str">
        <f>IF(ISBLANK(Overall!AQ22),"", Overall!AQ22)</f>
        <v/>
      </c>
      <c r="E22" s="3" t="str">
        <f>IF(ISBLANK(Overall!AR22),"", Overall!AR22)</f>
        <v/>
      </c>
      <c r="F22" s="61" t="str">
        <f>IF(ISBLANK(Overall!AS22),"", Overall!AS22)</f>
        <v/>
      </c>
      <c r="G22" s="44" t="str">
        <f>IF(ISBLANK(Overall!AT22),"", Overall!AT22)</f>
        <v/>
      </c>
      <c r="H22" s="58" t="str">
        <f>IF(ISBLANK(Overall!AU22),"", Overall!AU22)</f>
        <v/>
      </c>
      <c r="I22" s="44" t="str">
        <f>IF(ISBLANK(Overall!AV22),"", Overall!AV22)</f>
        <v/>
      </c>
      <c r="J22" s="44" t="str">
        <f>IF(ISBLANK(Overall!AW22),"", Overall!AW22)</f>
        <v/>
      </c>
    </row>
    <row r="23" spans="1:10" x14ac:dyDescent="0.25">
      <c r="A23" s="12"/>
      <c r="B23" s="34"/>
      <c r="C23" s="34"/>
      <c r="D23" s="34"/>
      <c r="E23" s="34"/>
      <c r="F23" s="34"/>
      <c r="G23" s="34"/>
      <c r="H23" s="34"/>
      <c r="I23" s="34"/>
      <c r="J23" s="34"/>
    </row>
    <row r="24" spans="1:10" x14ac:dyDescent="0.25">
      <c r="A24" s="5" t="str">
        <f>Overall!A24</f>
        <v>Career Center Operators</v>
      </c>
      <c r="B24" s="3" t="str">
        <f>IF(ISBLANK(Overall!AO24),"", Overall!AO24)</f>
        <v>LCADD</v>
      </c>
      <c r="C24" s="3" t="str">
        <f>IF(ISBLANK(Overall!AP24),"", Overall!AP24)</f>
        <v>LCADD</v>
      </c>
      <c r="D24" s="3" t="str">
        <f>IF(ISBLANK(Overall!AQ24),"", Overall!AQ24)</f>
        <v>LCADD</v>
      </c>
      <c r="E24" s="3" t="str">
        <f>IF(ISBLANK(Overall!AR24),"", Overall!AR24)</f>
        <v>LCADD</v>
      </c>
      <c r="F24" s="61" t="str">
        <f>IF(ISBLANK(Overall!AS24),"", Overall!AS24)</f>
        <v>LCADD</v>
      </c>
      <c r="G24" s="44"/>
      <c r="H24" s="58"/>
      <c r="I24" s="44"/>
      <c r="J24" s="44"/>
    </row>
    <row r="25" spans="1:10" ht="12.95" customHeight="1" x14ac:dyDescent="0.25">
      <c r="A25" s="12"/>
      <c r="B25" s="2"/>
      <c r="C25" s="2"/>
      <c r="D25" s="2"/>
      <c r="E25" s="2"/>
      <c r="F25" s="2"/>
      <c r="G25" s="2"/>
      <c r="H25" s="2"/>
      <c r="I25" s="2"/>
      <c r="J25" s="2"/>
    </row>
    <row r="26" spans="1:10" ht="138" customHeight="1" x14ac:dyDescent="0.25">
      <c r="A26" s="109" t="str">
        <f>Overall!A26</f>
        <v>Training Service Providers and services provided</v>
      </c>
      <c r="B26" s="104" t="s">
        <v>132</v>
      </c>
      <c r="C26" s="104" t="s">
        <v>130</v>
      </c>
      <c r="D26" s="104" t="s">
        <v>134</v>
      </c>
      <c r="E26" s="104"/>
      <c r="F26" s="104" t="s">
        <v>128</v>
      </c>
      <c r="G26" s="104" t="str">
        <f>IF(ISBLANK(Overall!AT26),"", Overall!AT26)</f>
        <v/>
      </c>
      <c r="H26" s="104" t="str">
        <f>IF(ISBLANK(Overall!AU26),"", Overall!AU26)</f>
        <v/>
      </c>
      <c r="I26" s="104" t="str">
        <f>IF(ISBLANK(Overall!AV26),"", Overall!AV26)</f>
        <v/>
      </c>
      <c r="J26" s="104" t="str">
        <f>IF(ISBLANK(Overall!AW26),"", Overall!AW26)</f>
        <v/>
      </c>
    </row>
    <row r="27" spans="1:10" ht="12.75" hidden="1" customHeight="1" x14ac:dyDescent="0.25">
      <c r="A27" s="109"/>
      <c r="B27" s="105"/>
      <c r="C27" s="105"/>
      <c r="D27" s="105"/>
      <c r="E27" s="105"/>
      <c r="F27" s="105"/>
      <c r="G27" s="105"/>
      <c r="H27" s="105"/>
      <c r="I27" s="105"/>
      <c r="J27" s="105"/>
    </row>
    <row r="28" spans="1:10" ht="12.75" hidden="1" customHeight="1" x14ac:dyDescent="0.25">
      <c r="A28" s="109"/>
      <c r="B28" s="105"/>
      <c r="C28" s="105"/>
      <c r="D28" s="105"/>
      <c r="E28" s="105"/>
      <c r="F28" s="105"/>
      <c r="G28" s="105"/>
      <c r="H28" s="105"/>
      <c r="I28" s="105"/>
      <c r="J28" s="105"/>
    </row>
    <row r="29" spans="1:10" ht="12.75" hidden="1" customHeight="1" x14ac:dyDescent="0.25">
      <c r="A29" s="109"/>
      <c r="B29" s="105"/>
      <c r="C29" s="105"/>
      <c r="D29" s="105"/>
      <c r="E29" s="105"/>
      <c r="F29" s="105"/>
      <c r="G29" s="105"/>
      <c r="H29" s="105"/>
      <c r="I29" s="105"/>
      <c r="J29" s="105"/>
    </row>
    <row r="30" spans="1:10" hidden="1" x14ac:dyDescent="0.25">
      <c r="A30" s="109"/>
      <c r="B30" s="106"/>
      <c r="C30" s="106"/>
      <c r="D30" s="106"/>
      <c r="E30" s="106"/>
      <c r="F30" s="106"/>
      <c r="G30" s="106"/>
      <c r="H30" s="106"/>
      <c r="I30" s="106"/>
      <c r="J30" s="106"/>
    </row>
    <row r="31" spans="1:10" ht="12.95" customHeight="1" x14ac:dyDescent="0.25">
      <c r="A31" s="12"/>
      <c r="B31" s="2"/>
      <c r="C31" s="2"/>
      <c r="D31" s="2"/>
      <c r="E31" s="2"/>
      <c r="F31" s="2"/>
      <c r="G31" s="2"/>
      <c r="H31" s="2"/>
      <c r="I31" s="2"/>
      <c r="J31" s="2"/>
    </row>
    <row r="32" spans="1:10" x14ac:dyDescent="0.25">
      <c r="A32" s="5" t="str">
        <f>Overall!A32</f>
        <v>Eligible Persons</v>
      </c>
      <c r="B32" s="3" t="s">
        <v>133</v>
      </c>
      <c r="C32" s="3" t="s">
        <v>131</v>
      </c>
      <c r="D32" s="3" t="s">
        <v>135</v>
      </c>
      <c r="E32" s="3" t="str">
        <f>IF(ISBLANK(Overall!AR32),"", Overall!AR32)</f>
        <v>ITA-0</v>
      </c>
      <c r="F32" s="61" t="s">
        <v>129</v>
      </c>
      <c r="G32" s="44" t="str">
        <f>IF(ISBLANK(Overall!AT32),"", Overall!AT32)</f>
        <v/>
      </c>
      <c r="H32" s="58" t="str">
        <f>IF(ISBLANK(Overall!AU32),"", Overall!AU32)</f>
        <v/>
      </c>
      <c r="I32" s="44" t="str">
        <f>IF(ISBLANK(Overall!AV32),"", Overall!AV32)</f>
        <v/>
      </c>
      <c r="J32" s="44" t="str">
        <f>IF(ISBLANK(Overall!AW32),"", Overall!AW32)</f>
        <v/>
      </c>
    </row>
    <row r="33" spans="1:10" x14ac:dyDescent="0.25">
      <c r="A33" s="5" t="str">
        <f>Overall!A33</f>
        <v># Persons Served</v>
      </c>
      <c r="B33" s="3" t="s">
        <v>133</v>
      </c>
      <c r="C33" s="3" t="s">
        <v>131</v>
      </c>
      <c r="D33" s="3" t="s">
        <v>135</v>
      </c>
      <c r="E33" s="3" t="str">
        <f>IF(ISBLANK(Overall!AR33),"", Overall!AR33)</f>
        <v>ITA-0</v>
      </c>
      <c r="F33" s="61" t="s">
        <v>129</v>
      </c>
      <c r="G33" s="44" t="str">
        <f>IF(ISBLANK(Overall!AT33),"", Overall!AT33)</f>
        <v/>
      </c>
      <c r="H33" s="58" t="str">
        <f>IF(ISBLANK(Overall!AU33),"", Overall!AU33)</f>
        <v/>
      </c>
      <c r="I33" s="44" t="str">
        <f>IF(ISBLANK(Overall!AV33),"", Overall!AV33)</f>
        <v/>
      </c>
      <c r="J33" s="44" t="str">
        <f>IF(ISBLANK(Overall!AW33),"", Overall!AW33)</f>
        <v/>
      </c>
    </row>
    <row r="34" spans="1:10" ht="30" x14ac:dyDescent="0.25">
      <c r="A34" s="5" t="str">
        <f>Overall!A34</f>
        <v># Eligible People Served thru Career Services</v>
      </c>
      <c r="B34" s="3" t="str">
        <f>IF(ISBLANK(Overall!AO34),"", Overall!AO34)</f>
        <v/>
      </c>
      <c r="C34" s="3" t="str">
        <f>IF(ISBLANK(Overall!AP34),"", Overall!AP34)</f>
        <v/>
      </c>
      <c r="D34" s="3" t="str">
        <f>IF(ISBLANK(Overall!AQ34),"", Overall!AQ34)</f>
        <v/>
      </c>
      <c r="E34" s="3" t="str">
        <f>IF(ISBLANK(Overall!AR34),"", Overall!AR34)</f>
        <v/>
      </c>
      <c r="F34" s="61" t="str">
        <f>IF(ISBLANK(Overall!AS34),"", Overall!AS34)</f>
        <v/>
      </c>
      <c r="G34" s="44" t="str">
        <f>IF(ISBLANK(Overall!AT35),"", Overall!AT35)</f>
        <v/>
      </c>
      <c r="H34" s="58" t="str">
        <f>IF(ISBLANK(Overall!AU35),"", Overall!AU35)</f>
        <v/>
      </c>
      <c r="I34" s="44" t="str">
        <f>IF(ISBLANK(Overall!AV35),"", Overall!AV35)</f>
        <v/>
      </c>
      <c r="J34" s="44" t="str">
        <f>IF(ISBLANK(Overall!AW35),"", Overall!AW35)</f>
        <v/>
      </c>
    </row>
    <row r="35" spans="1:10" x14ac:dyDescent="0.25">
      <c r="B35" s="2"/>
      <c r="C35" s="2"/>
      <c r="D35" s="2"/>
      <c r="E35" s="2"/>
      <c r="F35" s="2"/>
      <c r="G35" s="2"/>
      <c r="H35" s="2"/>
      <c r="I35" s="2"/>
      <c r="J35" s="2"/>
    </row>
    <row r="36" spans="1:10" ht="24" customHeight="1" x14ac:dyDescent="0.25">
      <c r="A36" s="9" t="str">
        <f>Overall!A37</f>
        <v>Performance Measures</v>
      </c>
      <c r="B36" s="3" t="str">
        <f>IF(ISBLANK(Overall!AO37),"", Overall!AO37)</f>
        <v>See Master Performance Measure Binder</v>
      </c>
      <c r="C36" s="3" t="str">
        <f>IF(ISBLANK(Overall!AP37),"", Overall!AP37)</f>
        <v>See Master Performance Measure Binder</v>
      </c>
      <c r="D36" s="3" t="str">
        <f>IF(ISBLANK(Overall!AQ37),"", Overall!AQ37)</f>
        <v>See Master Performance Measure Binder</v>
      </c>
      <c r="E36" s="3" t="str">
        <f>IF(ISBLANK(Overall!AR37),"", Overall!AR37)</f>
        <v>See Master Performance Measure Binder</v>
      </c>
      <c r="F36" s="61" t="str">
        <f>IF(ISBLANK(Overall!AS37),"", Overall!AS37)</f>
        <v>See Master Performance Measure Binder</v>
      </c>
      <c r="G36" s="44" t="str">
        <f>IF(ISBLANK(Overall!AT37),"", Overall!AT37)</f>
        <v/>
      </c>
      <c r="H36" s="58" t="str">
        <f>IF(ISBLANK(Overall!AU37),"", Overall!AU37)</f>
        <v/>
      </c>
      <c r="I36" s="44" t="str">
        <f>IF(ISBLANK(Overall!AV37),"", Overall!AV37)</f>
        <v/>
      </c>
      <c r="J36" s="44" t="str">
        <f>IF(ISBLANK(Overall!AW37),"", Overall!AW37)</f>
        <v/>
      </c>
    </row>
  </sheetData>
  <mergeCells count="11">
    <mergeCell ref="I26:I30"/>
    <mergeCell ref="J26:J30"/>
    <mergeCell ref="D26:D30"/>
    <mergeCell ref="E26:E30"/>
    <mergeCell ref="A18:A22"/>
    <mergeCell ref="A26:A30"/>
    <mergeCell ref="B26:B30"/>
    <mergeCell ref="C26:C30"/>
    <mergeCell ref="G26:G30"/>
    <mergeCell ref="H26:H30"/>
    <mergeCell ref="F26:F30"/>
  </mergeCells>
  <pageMargins left="0.25" right="0.25" top="1.25" bottom="0.5" header="0.3" footer="0.3"/>
  <pageSetup paperSize="5" scale="63" fitToWidth="0" orientation="landscape" r:id="rId1"/>
  <headerFooter>
    <oddHeader xml:space="preserve">&amp;CLake Cumberland Area Development District
FY 2023
KRS 147a.115 Report
</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4"/>
  <sheetViews>
    <sheetView workbookViewId="0">
      <selection activeCell="C12" sqref="C12"/>
    </sheetView>
  </sheetViews>
  <sheetFormatPr defaultColWidth="8.85546875" defaultRowHeight="15" x14ac:dyDescent="0.25"/>
  <cols>
    <col min="1" max="1" width="39.42578125" bestFit="1" customWidth="1"/>
    <col min="2" max="2" width="2.42578125" customWidth="1"/>
    <col min="3" max="3" width="14.28515625" bestFit="1" customWidth="1"/>
    <col min="4" max="4" width="2.42578125" customWidth="1"/>
    <col min="5" max="5" width="63.42578125" bestFit="1" customWidth="1"/>
    <col min="11" max="11" width="7.42578125" customWidth="1"/>
  </cols>
  <sheetData>
    <row r="1" spans="1:11" x14ac:dyDescent="0.25">
      <c r="A1" s="111" t="s">
        <v>59</v>
      </c>
      <c r="B1" s="111"/>
      <c r="C1" s="111"/>
      <c r="D1" s="111"/>
      <c r="E1" s="111"/>
    </row>
    <row r="3" spans="1:11" x14ac:dyDescent="0.25">
      <c r="A3" s="15" t="s">
        <v>140</v>
      </c>
      <c r="B3" s="15"/>
      <c r="C3" s="13"/>
      <c r="D3" s="13"/>
    </row>
    <row r="5" spans="1:11" x14ac:dyDescent="0.25">
      <c r="A5" s="16" t="s">
        <v>29</v>
      </c>
      <c r="B5" s="16"/>
      <c r="C5" s="16" t="s">
        <v>35</v>
      </c>
      <c r="D5" s="16"/>
      <c r="E5" s="16" t="s">
        <v>33</v>
      </c>
    </row>
    <row r="6" spans="1:11" x14ac:dyDescent="0.25">
      <c r="A6" s="7" t="s">
        <v>28</v>
      </c>
      <c r="B6" s="19"/>
      <c r="C6" s="22">
        <v>0</v>
      </c>
      <c r="D6" s="23"/>
      <c r="E6" s="7" t="s">
        <v>34</v>
      </c>
    </row>
    <row r="7" spans="1:11" x14ac:dyDescent="0.25">
      <c r="A7" s="7" t="s">
        <v>30</v>
      </c>
      <c r="B7" s="20"/>
      <c r="C7" s="22">
        <v>347948.42</v>
      </c>
      <c r="D7" s="24"/>
      <c r="E7" s="7" t="s">
        <v>34</v>
      </c>
    </row>
    <row r="8" spans="1:11" ht="15" customHeight="1" x14ac:dyDescent="0.25">
      <c r="A8" s="7" t="s">
        <v>31</v>
      </c>
      <c r="B8" s="20"/>
      <c r="C8" s="22">
        <v>98358</v>
      </c>
      <c r="D8" s="24"/>
      <c r="E8" s="110" t="s">
        <v>36</v>
      </c>
      <c r="F8" s="1"/>
      <c r="G8" s="1"/>
      <c r="H8" s="1"/>
      <c r="I8" s="1"/>
      <c r="J8" s="1"/>
      <c r="K8" s="1"/>
    </row>
    <row r="9" spans="1:11" x14ac:dyDescent="0.25">
      <c r="A9" s="7" t="s">
        <v>32</v>
      </c>
      <c r="B9" s="20"/>
      <c r="C9" s="22">
        <v>18852.400000000001</v>
      </c>
      <c r="D9" s="24"/>
      <c r="E9" s="110"/>
      <c r="F9" s="1"/>
      <c r="G9" s="1"/>
      <c r="H9" s="1"/>
      <c r="I9" s="1"/>
      <c r="J9" s="1"/>
      <c r="K9" s="1"/>
    </row>
    <row r="10" spans="1:11" x14ac:dyDescent="0.25">
      <c r="A10" s="112" t="s">
        <v>37</v>
      </c>
      <c r="B10" s="20"/>
      <c r="C10" s="22">
        <v>0</v>
      </c>
      <c r="D10" s="24"/>
      <c r="E10" s="110" t="s">
        <v>38</v>
      </c>
    </row>
    <row r="11" spans="1:11" x14ac:dyDescent="0.25">
      <c r="A11" s="112"/>
      <c r="B11" s="20"/>
      <c r="C11" s="22">
        <v>0</v>
      </c>
      <c r="D11" s="24"/>
      <c r="E11" s="110"/>
    </row>
    <row r="12" spans="1:11" ht="45" x14ac:dyDescent="0.25">
      <c r="A12" s="7"/>
      <c r="B12" s="21"/>
      <c r="C12" s="6">
        <v>1739052</v>
      </c>
      <c r="D12" s="25"/>
      <c r="E12" s="3" t="s">
        <v>47</v>
      </c>
    </row>
    <row r="13" spans="1:11" ht="15.75" thickBot="1" x14ac:dyDescent="0.3">
      <c r="C13" s="18">
        <f>SUM(C6:C12)</f>
        <v>2204210.8199999998</v>
      </c>
      <c r="D13" s="17"/>
    </row>
    <row r="14" spans="1:11" ht="15.75" thickTop="1" x14ac:dyDescent="0.25"/>
  </sheetData>
  <mergeCells count="4">
    <mergeCell ref="E8:E9"/>
    <mergeCell ref="E10:E11"/>
    <mergeCell ref="A1:E1"/>
    <mergeCell ref="A10:A11"/>
  </mergeCells>
  <pageMargins left="0.25" right="0.25" top="1.25" bottom="0.5" header="0.3" footer="0.3"/>
  <pageSetup paperSize="5" fitToWidth="0" orientation="landscape" r:id="rId1"/>
  <headerFooter>
    <oddHeader xml:space="preserve">&amp;CLake Cumberland Area Development District
FY 2023
KRS 147a.115 Report
</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Overall</vt:lpstr>
      <vt:lpstr>Aging</vt:lpstr>
      <vt:lpstr>Workforce</vt:lpstr>
      <vt:lpstr>Carryover (Reserves)</vt:lpstr>
      <vt:lpstr>Overall!Print_Area</vt:lpstr>
      <vt:lpstr>Aging!Print_Titles</vt:lpstr>
      <vt:lpstr>Overall!Print_Titles</vt:lpstr>
      <vt:lpstr>Workforce!Print_Titles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Alisha</dc:creator>
  <cp:lastModifiedBy>Coy, Janine (LRC)</cp:lastModifiedBy>
  <cp:lastPrinted>2024-07-17T14:31:38Z</cp:lastPrinted>
  <dcterms:created xsi:type="dcterms:W3CDTF">2017-11-26T03:23:39Z</dcterms:created>
  <dcterms:modified xsi:type="dcterms:W3CDTF">2025-01-02T13:53:35Z</dcterms:modified>
</cp:coreProperties>
</file>